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C:\Users\CARLOS CORTEZ\OneDrive\Documentos\ARCHIVOS DE LA PÁGINA WEB\COTIZADOR\"/>
    </mc:Choice>
  </mc:AlternateContent>
  <xr:revisionPtr revIDLastSave="0" documentId="13_ncr:1_{EACC106C-E18D-415F-847B-2118C5BFA475}" xr6:coauthVersionLast="47" xr6:coauthVersionMax="47" xr10:uidLastSave="{00000000-0000-0000-0000-000000000000}"/>
  <bookViews>
    <workbookView minimized="1" xWindow="720" yWindow="720" windowWidth="10040" windowHeight="7360" xr2:uid="{00000000-000D-0000-FFFF-FFFF00000000}"/>
  </bookViews>
  <sheets>
    <sheet name="DATOS INICIALES" sheetId="1" r:id="rId1"/>
    <sheet name="MARGENES" sheetId="2" r:id="rId2"/>
    <sheet name="BENCHMARKING" sheetId="3" r:id="rId3"/>
    <sheet name="DECISIÓN DE COMPRA" sheetId="4" r:id="rId4"/>
    <sheet name="PROYECCIÓN DE VENTAS " sheetId="5" r:id="rId5"/>
    <sheet name="PROYECCIÓN FINANCIERA" sheetId="6" r:id="rId6"/>
    <sheet name="AMORTIZACIÓN DEL PAGO" sheetId="7" r:id="rId7"/>
    <sheet name="DECISIÓN A PLAZO" sheetId="8" r:id="rId8"/>
    <sheet name="OFERTA DE UNIDADES 2" sheetId="9" r:id="rId9"/>
    <sheet name="SEGUNDA UNIDAD" sheetId="10" r:id="rId10"/>
    <sheet name="SEGUNDA PROYECCIÓN FINANCIERA" sheetId="11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2" i="11" l="1"/>
  <c r="E19" i="11" s="1"/>
  <c r="F13" i="11"/>
  <c r="H13" i="11" s="1"/>
  <c r="J13" i="11" s="1"/>
  <c r="L13" i="11" s="1"/>
  <c r="D27" i="11"/>
  <c r="D20" i="11"/>
  <c r="I6" i="11"/>
  <c r="J6" i="11" s="1"/>
  <c r="K6" i="11" s="1"/>
  <c r="L6" i="11" s="1"/>
  <c r="I5" i="11"/>
  <c r="J5" i="11" s="1"/>
  <c r="K5" i="11" s="1"/>
  <c r="L5" i="11" s="1"/>
  <c r="I4" i="11"/>
  <c r="J4" i="11" s="1"/>
  <c r="K4" i="11" s="1"/>
  <c r="L4" i="11" s="1"/>
  <c r="M17" i="10"/>
  <c r="I17" i="10"/>
  <c r="H17" i="10"/>
  <c r="M16" i="10"/>
  <c r="I16" i="10"/>
  <c r="H16" i="10"/>
  <c r="M15" i="10"/>
  <c r="I15" i="10"/>
  <c r="K15" i="10" s="1"/>
  <c r="H15" i="10"/>
  <c r="M14" i="10"/>
  <c r="I14" i="10"/>
  <c r="K14" i="10" s="1"/>
  <c r="H14" i="10"/>
  <c r="M13" i="10"/>
  <c r="I13" i="10"/>
  <c r="K13" i="10" s="1"/>
  <c r="H13" i="10"/>
  <c r="M12" i="10"/>
  <c r="I12" i="10"/>
  <c r="H12" i="10"/>
  <c r="M11" i="10"/>
  <c r="I11" i="10"/>
  <c r="H11" i="10"/>
  <c r="M10" i="10"/>
  <c r="I10" i="10"/>
  <c r="K10" i="10" s="1"/>
  <c r="H10" i="10"/>
  <c r="M9" i="10"/>
  <c r="I9" i="10"/>
  <c r="K9" i="10" s="1"/>
  <c r="H9" i="10"/>
  <c r="C12" i="11" s="1"/>
  <c r="M8" i="10"/>
  <c r="I8" i="10"/>
  <c r="H8" i="10"/>
  <c r="M7" i="10"/>
  <c r="H7" i="10"/>
  <c r="M6" i="10"/>
  <c r="I6" i="10"/>
  <c r="K6" i="10" s="1"/>
  <c r="H6" i="10"/>
  <c r="G2" i="10"/>
  <c r="M7" i="9"/>
  <c r="M8" i="9"/>
  <c r="M9" i="9"/>
  <c r="M10" i="9"/>
  <c r="M11" i="9"/>
  <c r="M12" i="9"/>
  <c r="M13" i="9"/>
  <c r="M14" i="9"/>
  <c r="M15" i="9"/>
  <c r="M16" i="9"/>
  <c r="M17" i="9"/>
  <c r="M18" i="9"/>
  <c r="M19" i="9"/>
  <c r="M20" i="9"/>
  <c r="M21" i="9"/>
  <c r="M22" i="9"/>
  <c r="M23" i="9"/>
  <c r="M24" i="9"/>
  <c r="M6" i="9"/>
  <c r="K22" i="9"/>
  <c r="K11" i="9"/>
  <c r="K6" i="9"/>
  <c r="I24" i="9"/>
  <c r="I23" i="9"/>
  <c r="I22" i="9"/>
  <c r="I21" i="9"/>
  <c r="I19" i="9"/>
  <c r="K19" i="9" s="1"/>
  <c r="I18" i="9"/>
  <c r="K18" i="9" s="1"/>
  <c r="I17" i="9"/>
  <c r="I16" i="9"/>
  <c r="I15" i="9"/>
  <c r="I14" i="9"/>
  <c r="K14" i="9" s="1"/>
  <c r="I11" i="9"/>
  <c r="I10" i="9"/>
  <c r="I8" i="9"/>
  <c r="K8" i="9" s="1"/>
  <c r="H22" i="9"/>
  <c r="H23" i="9"/>
  <c r="H24" i="9"/>
  <c r="H21" i="9"/>
  <c r="H15" i="9"/>
  <c r="H16" i="9"/>
  <c r="H17" i="9"/>
  <c r="H18" i="9"/>
  <c r="H19" i="9"/>
  <c r="H14" i="9"/>
  <c r="H9" i="9"/>
  <c r="H10" i="9"/>
  <c r="H7" i="9"/>
  <c r="H8" i="9"/>
  <c r="H11" i="9"/>
  <c r="C19" i="11" l="1"/>
  <c r="G12" i="11"/>
  <c r="I12" i="11" s="1"/>
  <c r="K12" i="11" s="1"/>
  <c r="E26" i="11"/>
  <c r="G26" i="11" s="1"/>
  <c r="I26" i="11" s="1"/>
  <c r="K26" i="11" s="1"/>
  <c r="G19" i="11"/>
  <c r="I19" i="11" s="1"/>
  <c r="K19" i="11" s="1"/>
  <c r="K20" i="9"/>
  <c r="H20" i="9"/>
  <c r="K13" i="9"/>
  <c r="H13" i="9"/>
  <c r="K12" i="9"/>
  <c r="G2" i="9"/>
  <c r="K3" i="8"/>
  <c r="L3" i="8"/>
  <c r="L5" i="8"/>
  <c r="N5" i="8" s="1"/>
  <c r="P5" i="8" s="1"/>
  <c r="R5" i="8" s="1"/>
  <c r="T5" i="8" s="1"/>
  <c r="V5" i="8" s="1"/>
  <c r="X5" i="8" s="1"/>
  <c r="Z5" i="8" s="1"/>
  <c r="AB5" i="8" s="1"/>
  <c r="AD5" i="8" s="1"/>
  <c r="AF5" i="8" s="1"/>
  <c r="AH5" i="8" s="1"/>
  <c r="AJ5" i="8" s="1"/>
  <c r="AL5" i="8" s="1"/>
  <c r="AN5" i="8" s="1"/>
  <c r="AP5" i="8" s="1"/>
  <c r="AR5" i="8" s="1"/>
  <c r="AT5" i="8" s="1"/>
  <c r="AV5" i="8" s="1"/>
  <c r="AX5" i="8" s="1"/>
  <c r="AZ5" i="8" s="1"/>
  <c r="BB5" i="8" s="1"/>
  <c r="BD5" i="8" s="1"/>
  <c r="BF5" i="8" s="1"/>
  <c r="BH5" i="8" s="1"/>
  <c r="BJ5" i="8" s="1"/>
  <c r="BL5" i="8" s="1"/>
  <c r="BN5" i="8" s="1"/>
  <c r="BP5" i="8" s="1"/>
  <c r="BR5" i="8" s="1"/>
  <c r="BT5" i="8" s="1"/>
  <c r="BV5" i="8" s="1"/>
  <c r="BX5" i="8" s="1"/>
  <c r="BZ5" i="8" s="1"/>
  <c r="CB5" i="8" s="1"/>
  <c r="CD5" i="8" s="1"/>
  <c r="K6" i="8"/>
  <c r="L6" i="8"/>
  <c r="K7" i="8"/>
  <c r="L7" i="8"/>
  <c r="L8" i="8"/>
  <c r="N8" i="8" s="1"/>
  <c r="P8" i="8" s="1"/>
  <c r="R8" i="8" s="1"/>
  <c r="T8" i="8" s="1"/>
  <c r="V8" i="8" s="1"/>
  <c r="X8" i="8" s="1"/>
  <c r="Z8" i="8" s="1"/>
  <c r="AB8" i="8" s="1"/>
  <c r="AD8" i="8" s="1"/>
  <c r="AF8" i="8" s="1"/>
  <c r="AH8" i="8" s="1"/>
  <c r="AJ8" i="8" s="1"/>
  <c r="AL8" i="8" s="1"/>
  <c r="AN8" i="8" s="1"/>
  <c r="AP8" i="8" s="1"/>
  <c r="AR8" i="8" s="1"/>
  <c r="AT8" i="8" s="1"/>
  <c r="AV8" i="8" s="1"/>
  <c r="AX8" i="8" s="1"/>
  <c r="AZ8" i="8" s="1"/>
  <c r="BB8" i="8" s="1"/>
  <c r="BD8" i="8" s="1"/>
  <c r="BF8" i="8" s="1"/>
  <c r="BH8" i="8" s="1"/>
  <c r="BJ8" i="8" s="1"/>
  <c r="BL8" i="8" s="1"/>
  <c r="BN8" i="8" s="1"/>
  <c r="BP8" i="8" s="1"/>
  <c r="BR8" i="8" s="1"/>
  <c r="BT8" i="8" s="1"/>
  <c r="BV8" i="8" s="1"/>
  <c r="BX8" i="8" s="1"/>
  <c r="BZ8" i="8" s="1"/>
  <c r="CB8" i="8" s="1"/>
  <c r="CD8" i="8" s="1"/>
  <c r="K10" i="8"/>
  <c r="M10" i="8" s="1"/>
  <c r="O10" i="8" s="1"/>
  <c r="Q10" i="8" s="1"/>
  <c r="S10" i="8" s="1"/>
  <c r="U10" i="8" s="1"/>
  <c r="W10" i="8" s="1"/>
  <c r="Y10" i="8" s="1"/>
  <c r="AA10" i="8" s="1"/>
  <c r="AC10" i="8" s="1"/>
  <c r="AE10" i="8" s="1"/>
  <c r="AG10" i="8" s="1"/>
  <c r="AI10" i="8" s="1"/>
  <c r="AK10" i="8" s="1"/>
  <c r="AM10" i="8" s="1"/>
  <c r="AO10" i="8" s="1"/>
  <c r="AQ10" i="8" s="1"/>
  <c r="AS10" i="8" s="1"/>
  <c r="AU10" i="8" s="1"/>
  <c r="AW10" i="8" s="1"/>
  <c r="AY10" i="8" s="1"/>
  <c r="C3" i="8"/>
  <c r="D3" i="8"/>
  <c r="E3" i="8"/>
  <c r="F3" i="8"/>
  <c r="G3" i="8"/>
  <c r="H3" i="8"/>
  <c r="I3" i="8"/>
  <c r="J3" i="8"/>
  <c r="D5" i="8"/>
  <c r="F5" i="8"/>
  <c r="H5" i="8"/>
  <c r="J5" i="8"/>
  <c r="D6" i="8"/>
  <c r="E6" i="8"/>
  <c r="F6" i="8"/>
  <c r="G6" i="8"/>
  <c r="H6" i="8"/>
  <c r="I6" i="8"/>
  <c r="J6" i="8"/>
  <c r="D7" i="8"/>
  <c r="E7" i="8"/>
  <c r="F7" i="8"/>
  <c r="G7" i="8"/>
  <c r="H7" i="8"/>
  <c r="I7" i="8"/>
  <c r="J7" i="8"/>
  <c r="C8" i="8"/>
  <c r="D8" i="8"/>
  <c r="F8" i="8"/>
  <c r="H8" i="8"/>
  <c r="J8" i="8"/>
  <c r="C10" i="8"/>
  <c r="E10" i="8"/>
  <c r="G10" i="8"/>
  <c r="I10" i="8"/>
  <c r="B3" i="8"/>
  <c r="B4" i="8"/>
  <c r="B5" i="8"/>
  <c r="B6" i="8"/>
  <c r="B7" i="8"/>
  <c r="B8" i="8"/>
  <c r="B10" i="8"/>
  <c r="B11" i="8"/>
  <c r="B2" i="8"/>
  <c r="C3" i="7"/>
  <c r="C14" i="6"/>
  <c r="U3" i="7"/>
  <c r="C32" i="6"/>
  <c r="C22" i="6"/>
  <c r="C5" i="8" s="1"/>
  <c r="E12" i="6"/>
  <c r="E22" i="6" s="1"/>
  <c r="E32" i="6" s="1"/>
  <c r="E5" i="8" l="1"/>
  <c r="C26" i="11"/>
  <c r="C28" i="11" s="1"/>
  <c r="D28" i="11" s="1"/>
  <c r="E28" i="11" s="1"/>
  <c r="BA10" i="8"/>
  <c r="BC10" i="8" s="1"/>
  <c r="BE10" i="8" s="1"/>
  <c r="BG10" i="8" s="1"/>
  <c r="BI10" i="8" s="1"/>
  <c r="BK10" i="8" s="1"/>
  <c r="BM10" i="8" s="1"/>
  <c r="BO10" i="8" s="1"/>
  <c r="BQ10" i="8" s="1"/>
  <c r="BS10" i="8" s="1"/>
  <c r="BU10" i="8" s="1"/>
  <c r="BW10" i="8" s="1"/>
  <c r="BY10" i="8" s="1"/>
  <c r="CA10" i="8" s="1"/>
  <c r="CC10" i="8" s="1"/>
  <c r="D36" i="6"/>
  <c r="E35" i="6"/>
  <c r="X4" i="7"/>
  <c r="X5" i="7" s="1"/>
  <c r="X6" i="7" s="1"/>
  <c r="X7" i="7" s="1"/>
  <c r="X8" i="7" s="1"/>
  <c r="X9" i="7" s="1"/>
  <c r="X10" i="7" s="1"/>
  <c r="X11" i="7" s="1"/>
  <c r="X12" i="7" s="1"/>
  <c r="X13" i="7" s="1"/>
  <c r="X14" i="7" s="1"/>
  <c r="X15" i="7" s="1"/>
  <c r="X16" i="7" s="1"/>
  <c r="X17" i="7" s="1"/>
  <c r="X18" i="7" s="1"/>
  <c r="X19" i="7" s="1"/>
  <c r="X20" i="7" s="1"/>
  <c r="X21" i="7" s="1"/>
  <c r="X22" i="7" s="1"/>
  <c r="X23" i="7" s="1"/>
  <c r="X24" i="7" s="1"/>
  <c r="X25" i="7" s="1"/>
  <c r="X26" i="7" s="1"/>
  <c r="F16" i="6"/>
  <c r="D26" i="6"/>
  <c r="D10" i="8" s="1"/>
  <c r="C11" i="6"/>
  <c r="D11" i="6" s="1"/>
  <c r="E11" i="6" s="1"/>
  <c r="F11" i="6" s="1"/>
  <c r="G11" i="6" s="1"/>
  <c r="H11" i="6" s="1"/>
  <c r="I11" i="6" s="1"/>
  <c r="J11" i="6" s="1"/>
  <c r="K11" i="6" s="1"/>
  <c r="L11" i="6" s="1"/>
  <c r="G32" i="6"/>
  <c r="I32" i="6" s="1"/>
  <c r="K32" i="6" s="1"/>
  <c r="E25" i="6"/>
  <c r="O4" i="7"/>
  <c r="O5" i="7" s="1"/>
  <c r="O6" i="7" s="1"/>
  <c r="O7" i="7" s="1"/>
  <c r="O8" i="7" s="1"/>
  <c r="O9" i="7" s="1"/>
  <c r="O10" i="7" s="1"/>
  <c r="O11" i="7" s="1"/>
  <c r="O12" i="7" s="1"/>
  <c r="O13" i="7" s="1"/>
  <c r="O14" i="7" s="1"/>
  <c r="O15" i="7" s="1"/>
  <c r="O16" i="7" s="1"/>
  <c r="O17" i="7" s="1"/>
  <c r="O18" i="7" s="1"/>
  <c r="O19" i="7" s="1"/>
  <c r="O20" i="7" s="1"/>
  <c r="O21" i="7" s="1"/>
  <c r="O22" i="7" s="1"/>
  <c r="O23" i="7" s="1"/>
  <c r="O24" i="7" s="1"/>
  <c r="O25" i="7" s="1"/>
  <c r="O26" i="7" s="1"/>
  <c r="G22" i="6"/>
  <c r="H16" i="6"/>
  <c r="J16" i="6" s="1"/>
  <c r="L16" i="6" s="1"/>
  <c r="E15" i="6"/>
  <c r="G15" i="6" s="1"/>
  <c r="I15" i="6" s="1"/>
  <c r="K15" i="6" s="1"/>
  <c r="F4" i="7"/>
  <c r="F5" i="7" s="1"/>
  <c r="F6" i="7" s="1"/>
  <c r="F7" i="7" s="1"/>
  <c r="F8" i="7" s="1"/>
  <c r="F9" i="7" s="1"/>
  <c r="F10" i="7" s="1"/>
  <c r="F11" i="7" s="1"/>
  <c r="F12" i="7" s="1"/>
  <c r="F13" i="7" s="1"/>
  <c r="F14" i="7" s="1"/>
  <c r="F15" i="7" s="1"/>
  <c r="F16" i="7" s="1"/>
  <c r="F17" i="7" s="1"/>
  <c r="F18" i="7" s="1"/>
  <c r="F19" i="7" s="1"/>
  <c r="F20" i="7" s="1"/>
  <c r="F21" i="7" s="1"/>
  <c r="F22" i="7" s="1"/>
  <c r="F23" i="7" s="1"/>
  <c r="F24" i="7" s="1"/>
  <c r="F25" i="7" s="1"/>
  <c r="F26" i="7" s="1"/>
  <c r="G12" i="6"/>
  <c r="I12" i="6" s="1"/>
  <c r="K12" i="6" s="1"/>
  <c r="N5" i="6"/>
  <c r="F26" i="6" s="1"/>
  <c r="F10" i="8" s="1"/>
  <c r="I6" i="6"/>
  <c r="J6" i="6" s="1"/>
  <c r="K6" i="6" s="1"/>
  <c r="L6" i="6" s="1"/>
  <c r="I5" i="6"/>
  <c r="J5" i="6" s="1"/>
  <c r="K5" i="6" s="1"/>
  <c r="L5" i="6" s="1"/>
  <c r="I4" i="6"/>
  <c r="J4" i="6" s="1"/>
  <c r="K4" i="6" s="1"/>
  <c r="L4" i="6" s="1"/>
  <c r="K18" i="4"/>
  <c r="K6" i="4"/>
  <c r="K10" i="4"/>
  <c r="K11" i="4"/>
  <c r="AJ5" i="5"/>
  <c r="AL5" i="5" s="1"/>
  <c r="AJ6" i="5"/>
  <c r="AL6" i="5" s="1"/>
  <c r="C11" i="11" s="1"/>
  <c r="AJ7" i="5"/>
  <c r="AL7" i="5" s="1"/>
  <c r="AJ8" i="5"/>
  <c r="AL8" i="5" s="1"/>
  <c r="C18" i="11" s="1"/>
  <c r="D18" i="11" s="1"/>
  <c r="E18" i="11" s="1"/>
  <c r="F18" i="11" s="1"/>
  <c r="G18" i="11" s="1"/>
  <c r="H18" i="11" s="1"/>
  <c r="I18" i="11" s="1"/>
  <c r="J18" i="11" s="1"/>
  <c r="K18" i="11" s="1"/>
  <c r="L18" i="11" s="1"/>
  <c r="AJ9" i="5"/>
  <c r="AL9" i="5" s="1"/>
  <c r="C25" i="11" s="1"/>
  <c r="D25" i="11" s="1"/>
  <c r="E25" i="11" s="1"/>
  <c r="F25" i="11" s="1"/>
  <c r="AJ4" i="5"/>
  <c r="AL4" i="5" s="1"/>
  <c r="AI5" i="5"/>
  <c r="AI6" i="5"/>
  <c r="N4" i="11" s="1"/>
  <c r="O4" i="11" s="1"/>
  <c r="D13" i="11" s="1"/>
  <c r="AI7" i="5"/>
  <c r="AI8" i="5"/>
  <c r="N5" i="11" s="1"/>
  <c r="F20" i="11" s="1"/>
  <c r="H20" i="11" s="1"/>
  <c r="J20" i="11" s="1"/>
  <c r="AI9" i="5"/>
  <c r="N6" i="11" s="1"/>
  <c r="F27" i="11" s="1"/>
  <c r="AI4" i="5"/>
  <c r="H11" i="4"/>
  <c r="H18" i="4"/>
  <c r="C12" i="6" s="1"/>
  <c r="G2" i="4"/>
  <c r="C2" i="4"/>
  <c r="H26" i="6" l="1"/>
  <c r="D11" i="11"/>
  <c r="E11" i="11" s="1"/>
  <c r="F11" i="11" s="1"/>
  <c r="G11" i="11" s="1"/>
  <c r="H11" i="11" s="1"/>
  <c r="I11" i="11" s="1"/>
  <c r="J11" i="11" s="1"/>
  <c r="K11" i="11" s="1"/>
  <c r="L11" i="11" s="1"/>
  <c r="C14" i="11"/>
  <c r="D14" i="11" s="1"/>
  <c r="E14" i="11" s="1"/>
  <c r="F14" i="11" s="1"/>
  <c r="G14" i="11" s="1"/>
  <c r="H14" i="11" s="1"/>
  <c r="I14" i="11" s="1"/>
  <c r="J14" i="11" s="1"/>
  <c r="K14" i="11" s="1"/>
  <c r="L14" i="11" s="1"/>
  <c r="G25" i="6"/>
  <c r="E8" i="8"/>
  <c r="C21" i="11"/>
  <c r="D21" i="11" s="1"/>
  <c r="E21" i="11" s="1"/>
  <c r="F21" i="11" s="1"/>
  <c r="G21" i="11" s="1"/>
  <c r="H21" i="11" s="1"/>
  <c r="I21" i="11" s="1"/>
  <c r="J21" i="11" s="1"/>
  <c r="K21" i="11" s="1"/>
  <c r="L21" i="11" s="1"/>
  <c r="H27" i="11"/>
  <c r="J27" i="11" s="1"/>
  <c r="L27" i="11" s="1"/>
  <c r="F30" i="11"/>
  <c r="C13" i="6"/>
  <c r="C17" i="6"/>
  <c r="G25" i="11"/>
  <c r="H25" i="11" s="1"/>
  <c r="I25" i="11" s="1"/>
  <c r="J25" i="11" s="1"/>
  <c r="K25" i="11" s="1"/>
  <c r="L25" i="11" s="1"/>
  <c r="F31" i="11"/>
  <c r="N4" i="6"/>
  <c r="O4" i="6" s="1"/>
  <c r="D16" i="6" s="1"/>
  <c r="C21" i="6"/>
  <c r="C31" i="6"/>
  <c r="I22" i="6"/>
  <c r="G5" i="8"/>
  <c r="N6" i="6"/>
  <c r="F36" i="6" s="1"/>
  <c r="H36" i="6" s="1"/>
  <c r="F28" i="11"/>
  <c r="G28" i="11" s="1"/>
  <c r="H28" i="11" s="1"/>
  <c r="I28" i="11" s="1"/>
  <c r="J28" i="11" s="1"/>
  <c r="K28" i="11" s="1"/>
  <c r="L28" i="11" s="1"/>
  <c r="L20" i="11"/>
  <c r="G35" i="6"/>
  <c r="I35" i="6" s="1"/>
  <c r="K35" i="6" s="1"/>
  <c r="V3" i="7"/>
  <c r="W3" i="7" s="1"/>
  <c r="Y3" i="7" s="1"/>
  <c r="U4" i="7" s="1"/>
  <c r="D17" i="6"/>
  <c r="E17" i="6" s="1"/>
  <c r="D3" i="7"/>
  <c r="E3" i="7" s="1"/>
  <c r="G3" i="7" s="1"/>
  <c r="C4" i="7" s="1"/>
  <c r="D4" i="7" s="1"/>
  <c r="J36" i="6"/>
  <c r="D31" i="6"/>
  <c r="E31" i="6" s="1"/>
  <c r="F31" i="6" s="1"/>
  <c r="G31" i="6" s="1"/>
  <c r="H31" i="6" s="1"/>
  <c r="I31" i="6" s="1"/>
  <c r="J31" i="6" s="1"/>
  <c r="K31" i="6" s="1"/>
  <c r="L31" i="6" s="1"/>
  <c r="L9" i="2"/>
  <c r="M9" i="2" s="1"/>
  <c r="N9" i="2" s="1"/>
  <c r="O9" i="2" s="1"/>
  <c r="L8" i="2"/>
  <c r="M8" i="2" s="1"/>
  <c r="N8" i="2" s="1"/>
  <c r="O8" i="2" s="1"/>
  <c r="L7" i="2"/>
  <c r="M7" i="2" s="1"/>
  <c r="N7" i="2" s="1"/>
  <c r="O7" i="2" s="1"/>
  <c r="L6" i="2"/>
  <c r="M6" i="2" s="1"/>
  <c r="N6" i="2" s="1"/>
  <c r="O6" i="2" s="1"/>
  <c r="L5" i="2"/>
  <c r="M5" i="2" s="1"/>
  <c r="N5" i="2" s="1"/>
  <c r="O5" i="2" s="1"/>
  <c r="L4" i="2"/>
  <c r="M4" i="2" s="1"/>
  <c r="N4" i="2" s="1"/>
  <c r="O4" i="2" s="1"/>
  <c r="C37" i="6" l="1"/>
  <c r="D37" i="6" s="1"/>
  <c r="E37" i="6" s="1"/>
  <c r="F37" i="6" s="1"/>
  <c r="G37" i="6" s="1"/>
  <c r="H37" i="6" s="1"/>
  <c r="I37" i="6" s="1"/>
  <c r="J37" i="6" s="1"/>
  <c r="K37" i="6" s="1"/>
  <c r="C33" i="6"/>
  <c r="C4" i="8"/>
  <c r="C23" i="6"/>
  <c r="D21" i="6"/>
  <c r="J26" i="6"/>
  <c r="H10" i="8"/>
  <c r="K22" i="6"/>
  <c r="K5" i="8" s="1"/>
  <c r="M5" i="8" s="1"/>
  <c r="O5" i="8" s="1"/>
  <c r="Q5" i="8" s="1"/>
  <c r="S5" i="8" s="1"/>
  <c r="U5" i="8" s="1"/>
  <c r="W5" i="8" s="1"/>
  <c r="Y5" i="8" s="1"/>
  <c r="AA5" i="8" s="1"/>
  <c r="AC5" i="8" s="1"/>
  <c r="AE5" i="8" s="1"/>
  <c r="AG5" i="8" s="1"/>
  <c r="AI5" i="8" s="1"/>
  <c r="AK5" i="8" s="1"/>
  <c r="AM5" i="8" s="1"/>
  <c r="AO5" i="8" s="1"/>
  <c r="AQ5" i="8" s="1"/>
  <c r="I5" i="8"/>
  <c r="F32" i="11"/>
  <c r="I25" i="6"/>
  <c r="G8" i="8"/>
  <c r="C27" i="6"/>
  <c r="C11" i="8" s="1"/>
  <c r="F17" i="6"/>
  <c r="G17" i="6" s="1"/>
  <c r="H17" i="6" s="1"/>
  <c r="I17" i="6" s="1"/>
  <c r="J17" i="6" s="1"/>
  <c r="K17" i="6" s="1"/>
  <c r="L17" i="6" s="1"/>
  <c r="V4" i="7"/>
  <c r="W4" i="7" s="1"/>
  <c r="Y4" i="7" s="1"/>
  <c r="U5" i="7" s="1"/>
  <c r="L36" i="6"/>
  <c r="E4" i="7"/>
  <c r="G4" i="7" s="1"/>
  <c r="C5" i="7" s="1"/>
  <c r="D5" i="7" s="1"/>
  <c r="E5" i="7" s="1"/>
  <c r="G5" i="7" s="1"/>
  <c r="C6" i="7" s="1"/>
  <c r="D6" i="7" s="1"/>
  <c r="E6" i="7" s="1"/>
  <c r="G6" i="7" s="1"/>
  <c r="C7" i="7" s="1"/>
  <c r="C6" i="8" l="1"/>
  <c r="C24" i="6"/>
  <c r="C7" i="8" s="1"/>
  <c r="AU5" i="8"/>
  <c r="AW5" i="8" s="1"/>
  <c r="AY5" i="8" s="1"/>
  <c r="BA5" i="8" s="1"/>
  <c r="BC5" i="8" s="1"/>
  <c r="BE5" i="8" s="1"/>
  <c r="BG5" i="8" s="1"/>
  <c r="BI5" i="8" s="1"/>
  <c r="BK5" i="8" s="1"/>
  <c r="BM5" i="8" s="1"/>
  <c r="BO5" i="8" s="1"/>
  <c r="BQ5" i="8" s="1"/>
  <c r="BS5" i="8" s="1"/>
  <c r="BU5" i="8" s="1"/>
  <c r="BW5" i="8" s="1"/>
  <c r="BY5" i="8" s="1"/>
  <c r="CA5" i="8" s="1"/>
  <c r="CC5" i="8" s="1"/>
  <c r="AS5" i="8"/>
  <c r="K25" i="6"/>
  <c r="K8" i="8" s="1"/>
  <c r="M8" i="8" s="1"/>
  <c r="O8" i="8" s="1"/>
  <c r="Q8" i="8" s="1"/>
  <c r="S8" i="8" s="1"/>
  <c r="U8" i="8" s="1"/>
  <c r="W8" i="8" s="1"/>
  <c r="Y8" i="8" s="1"/>
  <c r="AA8" i="8" s="1"/>
  <c r="AC8" i="8" s="1"/>
  <c r="AE8" i="8" s="1"/>
  <c r="AG8" i="8" s="1"/>
  <c r="AI8" i="8" s="1"/>
  <c r="AK8" i="8" s="1"/>
  <c r="AM8" i="8" s="1"/>
  <c r="AO8" i="8" s="1"/>
  <c r="AQ8" i="8" s="1"/>
  <c r="AS8" i="8" s="1"/>
  <c r="AU8" i="8" s="1"/>
  <c r="AW8" i="8" s="1"/>
  <c r="AY8" i="8" s="1"/>
  <c r="BC8" i="8" s="1"/>
  <c r="BE8" i="8" s="1"/>
  <c r="BG8" i="8" s="1"/>
  <c r="BI8" i="8" s="1"/>
  <c r="BK8" i="8" s="1"/>
  <c r="BM8" i="8" s="1"/>
  <c r="BO8" i="8" s="1"/>
  <c r="BQ8" i="8" s="1"/>
  <c r="BS8" i="8" s="1"/>
  <c r="BU8" i="8" s="1"/>
  <c r="BW8" i="8" s="1"/>
  <c r="BY8" i="8" s="1"/>
  <c r="CA8" i="8" s="1"/>
  <c r="CC8" i="8" s="1"/>
  <c r="I8" i="8"/>
  <c r="E21" i="6"/>
  <c r="D4" i="8"/>
  <c r="L26" i="6"/>
  <c r="L10" i="8" s="1"/>
  <c r="N10" i="8" s="1"/>
  <c r="P10" i="8" s="1"/>
  <c r="R10" i="8" s="1"/>
  <c r="T10" i="8" s="1"/>
  <c r="V10" i="8" s="1"/>
  <c r="X10" i="8" s="1"/>
  <c r="Z10" i="8" s="1"/>
  <c r="AB10" i="8" s="1"/>
  <c r="AD10" i="8" s="1"/>
  <c r="AF10" i="8" s="1"/>
  <c r="AH10" i="8" s="1"/>
  <c r="AJ10" i="8" s="1"/>
  <c r="AL10" i="8" s="1"/>
  <c r="AN10" i="8" s="1"/>
  <c r="AP10" i="8" s="1"/>
  <c r="AR10" i="8" s="1"/>
  <c r="AT10" i="8" s="1"/>
  <c r="AV10" i="8" s="1"/>
  <c r="AX10" i="8" s="1"/>
  <c r="AZ10" i="8" s="1"/>
  <c r="BB10" i="8" s="1"/>
  <c r="BD10" i="8" s="1"/>
  <c r="BF10" i="8" s="1"/>
  <c r="BH10" i="8" s="1"/>
  <c r="BJ10" i="8" s="1"/>
  <c r="BL10" i="8" s="1"/>
  <c r="BN10" i="8" s="1"/>
  <c r="BP10" i="8" s="1"/>
  <c r="BR10" i="8" s="1"/>
  <c r="BT10" i="8" s="1"/>
  <c r="BV10" i="8" s="1"/>
  <c r="BX10" i="8" s="1"/>
  <c r="BZ10" i="8" s="1"/>
  <c r="CB10" i="8" s="1"/>
  <c r="CD10" i="8" s="1"/>
  <c r="J10" i="8"/>
  <c r="V5" i="7"/>
  <c r="W5" i="7" s="1"/>
  <c r="Y5" i="7" s="1"/>
  <c r="U6" i="7" s="1"/>
  <c r="L37" i="6"/>
  <c r="D7" i="7"/>
  <c r="E7" i="7" s="1"/>
  <c r="G7" i="7" s="1"/>
  <c r="C8" i="7" s="1"/>
  <c r="F21" i="6" l="1"/>
  <c r="E4" i="8"/>
  <c r="V6" i="7"/>
  <c r="W6" i="7" s="1"/>
  <c r="Y6" i="7" s="1"/>
  <c r="U7" i="7" s="1"/>
  <c r="D8" i="7"/>
  <c r="E8" i="7" s="1"/>
  <c r="G8" i="7" s="1"/>
  <c r="C9" i="7" s="1"/>
  <c r="G21" i="6" l="1"/>
  <c r="F4" i="8"/>
  <c r="V7" i="7"/>
  <c r="W7" i="7" s="1"/>
  <c r="Y7" i="7" s="1"/>
  <c r="U8" i="7" s="1"/>
  <c r="D9" i="7"/>
  <c r="E9" i="7" s="1"/>
  <c r="G9" i="7" s="1"/>
  <c r="C10" i="7" s="1"/>
  <c r="H21" i="6" l="1"/>
  <c r="G4" i="8"/>
  <c r="V8" i="7"/>
  <c r="W8" i="7" s="1"/>
  <c r="Y8" i="7" s="1"/>
  <c r="U9" i="7" s="1"/>
  <c r="D10" i="7"/>
  <c r="E10" i="7" s="1"/>
  <c r="G10" i="7" s="1"/>
  <c r="C11" i="7" s="1"/>
  <c r="I21" i="6" l="1"/>
  <c r="H4" i="8"/>
  <c r="V9" i="7"/>
  <c r="W9" i="7" s="1"/>
  <c r="Y9" i="7" s="1"/>
  <c r="U10" i="7" s="1"/>
  <c r="D11" i="7"/>
  <c r="E11" i="7" s="1"/>
  <c r="G11" i="7" s="1"/>
  <c r="C12" i="7" s="1"/>
  <c r="J21" i="6" l="1"/>
  <c r="I4" i="8"/>
  <c r="V10" i="7"/>
  <c r="W10" i="7" s="1"/>
  <c r="Y10" i="7" s="1"/>
  <c r="U11" i="7" s="1"/>
  <c r="D12" i="7"/>
  <c r="E12" i="7" s="1"/>
  <c r="G12" i="7" s="1"/>
  <c r="C13" i="7" s="1"/>
  <c r="K21" i="6" l="1"/>
  <c r="J4" i="8"/>
  <c r="V11" i="7"/>
  <c r="W11" i="7" s="1"/>
  <c r="Y11" i="7" s="1"/>
  <c r="U12" i="7" s="1"/>
  <c r="D13" i="7"/>
  <c r="E13" i="7" s="1"/>
  <c r="G13" i="7" s="1"/>
  <c r="C14" i="7" s="1"/>
  <c r="L21" i="6" l="1"/>
  <c r="L4" i="8" s="1"/>
  <c r="M4" i="8" s="1"/>
  <c r="N4" i="8" s="1"/>
  <c r="O4" i="8" s="1"/>
  <c r="P4" i="8" s="1"/>
  <c r="Q4" i="8" s="1"/>
  <c r="R4" i="8" s="1"/>
  <c r="S4" i="8" s="1"/>
  <c r="T4" i="8" s="1"/>
  <c r="U4" i="8" s="1"/>
  <c r="V4" i="8" s="1"/>
  <c r="W4" i="8" s="1"/>
  <c r="X4" i="8" s="1"/>
  <c r="Y4" i="8" s="1"/>
  <c r="Z4" i="8" s="1"/>
  <c r="AA4" i="8" s="1"/>
  <c r="AB4" i="8" s="1"/>
  <c r="AC4" i="8" s="1"/>
  <c r="AD4" i="8" s="1"/>
  <c r="AE4" i="8" s="1"/>
  <c r="AF4" i="8" s="1"/>
  <c r="AG4" i="8" s="1"/>
  <c r="AH4" i="8" s="1"/>
  <c r="AI4" i="8" s="1"/>
  <c r="AJ4" i="8" s="1"/>
  <c r="AK4" i="8" s="1"/>
  <c r="AL4" i="8" s="1"/>
  <c r="AM4" i="8" s="1"/>
  <c r="AN4" i="8" s="1"/>
  <c r="AO4" i="8" s="1"/>
  <c r="AP4" i="8" s="1"/>
  <c r="AQ4" i="8" s="1"/>
  <c r="AR4" i="8" s="1"/>
  <c r="AS4" i="8" s="1"/>
  <c r="AT4" i="8" s="1"/>
  <c r="AU4" i="8" s="1"/>
  <c r="AV4" i="8" s="1"/>
  <c r="AW4" i="8" s="1"/>
  <c r="AX4" i="8" s="1"/>
  <c r="AY4" i="8" s="1"/>
  <c r="AZ4" i="8" s="1"/>
  <c r="BA4" i="8" s="1"/>
  <c r="BB4" i="8" s="1"/>
  <c r="BC4" i="8" s="1"/>
  <c r="BD4" i="8" s="1"/>
  <c r="BE4" i="8" s="1"/>
  <c r="BF4" i="8" s="1"/>
  <c r="BG4" i="8" s="1"/>
  <c r="BH4" i="8" s="1"/>
  <c r="BI4" i="8" s="1"/>
  <c r="BJ4" i="8" s="1"/>
  <c r="BK4" i="8" s="1"/>
  <c r="BL4" i="8" s="1"/>
  <c r="BM4" i="8" s="1"/>
  <c r="BN4" i="8" s="1"/>
  <c r="BO4" i="8" s="1"/>
  <c r="BP4" i="8" s="1"/>
  <c r="BQ4" i="8" s="1"/>
  <c r="BR4" i="8" s="1"/>
  <c r="BS4" i="8" s="1"/>
  <c r="BT4" i="8" s="1"/>
  <c r="BU4" i="8" s="1"/>
  <c r="BV4" i="8" s="1"/>
  <c r="BW4" i="8" s="1"/>
  <c r="BX4" i="8" s="1"/>
  <c r="BY4" i="8" s="1"/>
  <c r="BZ4" i="8" s="1"/>
  <c r="CA4" i="8" s="1"/>
  <c r="CB4" i="8" s="1"/>
  <c r="CC4" i="8" s="1"/>
  <c r="CD4" i="8" s="1"/>
  <c r="K4" i="8"/>
  <c r="V12" i="7"/>
  <c r="W12" i="7" s="1"/>
  <c r="Y12" i="7" s="1"/>
  <c r="U13" i="7" s="1"/>
  <c r="D14" i="7"/>
  <c r="E14" i="7" s="1"/>
  <c r="G14" i="7" s="1"/>
  <c r="C15" i="7" s="1"/>
  <c r="V13" i="7" l="1"/>
  <c r="W13" i="7" s="1"/>
  <c r="Y13" i="7" s="1"/>
  <c r="U14" i="7" s="1"/>
  <c r="D15" i="7"/>
  <c r="E15" i="7" s="1"/>
  <c r="G15" i="7" s="1"/>
  <c r="C16" i="7" s="1"/>
  <c r="V14" i="7" l="1"/>
  <c r="W14" i="7" s="1"/>
  <c r="Y14" i="7" s="1"/>
  <c r="U15" i="7" s="1"/>
  <c r="D16" i="7"/>
  <c r="E16" i="7" s="1"/>
  <c r="G16" i="7" s="1"/>
  <c r="C17" i="7" s="1"/>
  <c r="V15" i="7" l="1"/>
  <c r="W15" i="7" s="1"/>
  <c r="Y15" i="7" s="1"/>
  <c r="U16" i="7" s="1"/>
  <c r="D17" i="7"/>
  <c r="E17" i="7" s="1"/>
  <c r="G17" i="7" s="1"/>
  <c r="C18" i="7" s="1"/>
  <c r="V16" i="7" l="1"/>
  <c r="W16" i="7" s="1"/>
  <c r="Y16" i="7" s="1"/>
  <c r="U17" i="7" s="1"/>
  <c r="D18" i="7"/>
  <c r="E18" i="7" s="1"/>
  <c r="G18" i="7" s="1"/>
  <c r="C19" i="7" s="1"/>
  <c r="V17" i="7" l="1"/>
  <c r="W17" i="7" s="1"/>
  <c r="Y17" i="7" s="1"/>
  <c r="U18" i="7" s="1"/>
  <c r="D19" i="7"/>
  <c r="E19" i="7" s="1"/>
  <c r="G19" i="7" s="1"/>
  <c r="C20" i="7" s="1"/>
  <c r="V18" i="7" l="1"/>
  <c r="W18" i="7" s="1"/>
  <c r="Y18" i="7" s="1"/>
  <c r="U19" i="7" s="1"/>
  <c r="D20" i="7"/>
  <c r="E20" i="7" s="1"/>
  <c r="G20" i="7" s="1"/>
  <c r="C21" i="7" s="1"/>
  <c r="V19" i="7" l="1"/>
  <c r="W19" i="7" s="1"/>
  <c r="Y19" i="7" s="1"/>
  <c r="U20" i="7" s="1"/>
  <c r="D21" i="7"/>
  <c r="E21" i="7" s="1"/>
  <c r="G21" i="7" s="1"/>
  <c r="C22" i="7" s="1"/>
  <c r="V20" i="7" l="1"/>
  <c r="W20" i="7" s="1"/>
  <c r="Y20" i="7" s="1"/>
  <c r="U21" i="7" s="1"/>
  <c r="D22" i="7"/>
  <c r="E22" i="7" s="1"/>
  <c r="G22" i="7" s="1"/>
  <c r="C23" i="7" s="1"/>
  <c r="V21" i="7" l="1"/>
  <c r="W21" i="7" s="1"/>
  <c r="Y21" i="7" s="1"/>
  <c r="U22" i="7" s="1"/>
  <c r="D23" i="7"/>
  <c r="E23" i="7" s="1"/>
  <c r="G23" i="7" s="1"/>
  <c r="C24" i="7" s="1"/>
  <c r="V22" i="7" l="1"/>
  <c r="W22" i="7" s="1"/>
  <c r="Y22" i="7" s="1"/>
  <c r="U23" i="7" s="1"/>
  <c r="D24" i="7"/>
  <c r="E24" i="7" s="1"/>
  <c r="G24" i="7" s="1"/>
  <c r="C25" i="7" s="1"/>
  <c r="V23" i="7" l="1"/>
  <c r="W23" i="7" s="1"/>
  <c r="Y23" i="7" s="1"/>
  <c r="U24" i="7" s="1"/>
  <c r="D25" i="7"/>
  <c r="E25" i="7" s="1"/>
  <c r="G25" i="7" s="1"/>
  <c r="C26" i="7" s="1"/>
  <c r="V24" i="7" l="1"/>
  <c r="W24" i="7" s="1"/>
  <c r="Y24" i="7" s="1"/>
  <c r="U25" i="7" s="1"/>
  <c r="D26" i="7"/>
  <c r="E26" i="7" s="1"/>
  <c r="G26" i="7" s="1"/>
  <c r="I3" i="7" s="1"/>
  <c r="V25" i="7" l="1"/>
  <c r="W25" i="7" s="1"/>
  <c r="Y25" i="7" s="1"/>
  <c r="U26" i="7" s="1"/>
  <c r="V26" i="7" l="1"/>
  <c r="W26" i="7" s="1"/>
  <c r="Y26" i="7" s="1"/>
  <c r="AA3" i="7" s="1"/>
  <c r="L3" i="7"/>
  <c r="M3" i="7" s="1"/>
  <c r="N3" i="7" s="1"/>
  <c r="P3" i="7" s="1"/>
  <c r="L4" i="7" s="1"/>
  <c r="D27" i="6" l="1"/>
  <c r="M4" i="7"/>
  <c r="N4" i="7" s="1"/>
  <c r="P4" i="7" s="1"/>
  <c r="L5" i="7" s="1"/>
  <c r="E27" i="6" l="1"/>
  <c r="D11" i="8"/>
  <c r="M5" i="7"/>
  <c r="N5" i="7" s="1"/>
  <c r="P5" i="7" s="1"/>
  <c r="L6" i="7" s="1"/>
  <c r="F27" i="6" l="1"/>
  <c r="E11" i="8"/>
  <c r="M6" i="7"/>
  <c r="N6" i="7" s="1"/>
  <c r="P6" i="7" s="1"/>
  <c r="L7" i="7" s="1"/>
  <c r="G27" i="6" l="1"/>
  <c r="F11" i="8"/>
  <c r="M7" i="7"/>
  <c r="N7" i="7" s="1"/>
  <c r="P7" i="7" s="1"/>
  <c r="L8" i="7" s="1"/>
  <c r="H27" i="6" l="1"/>
  <c r="G11" i="8"/>
  <c r="M8" i="7"/>
  <c r="N8" i="7" s="1"/>
  <c r="P8" i="7" s="1"/>
  <c r="L9" i="7" s="1"/>
  <c r="I27" i="6" l="1"/>
  <c r="H11" i="8"/>
  <c r="M9" i="7"/>
  <c r="N9" i="7" s="1"/>
  <c r="P9" i="7" s="1"/>
  <c r="L10" i="7" s="1"/>
  <c r="J27" i="6" l="1"/>
  <c r="I11" i="8"/>
  <c r="M10" i="7"/>
  <c r="N10" i="7" s="1"/>
  <c r="P10" i="7" s="1"/>
  <c r="L11" i="7" s="1"/>
  <c r="K27" i="6" l="1"/>
  <c r="J11" i="8"/>
  <c r="M11" i="7"/>
  <c r="N11" i="7" s="1"/>
  <c r="P11" i="7" s="1"/>
  <c r="L12" i="7" s="1"/>
  <c r="L27" i="6" l="1"/>
  <c r="L11" i="8" s="1"/>
  <c r="M11" i="8" s="1"/>
  <c r="N11" i="8" s="1"/>
  <c r="O11" i="8" s="1"/>
  <c r="P11" i="8" s="1"/>
  <c r="Q11" i="8" s="1"/>
  <c r="R11" i="8" s="1"/>
  <c r="S11" i="8" s="1"/>
  <c r="T11" i="8" s="1"/>
  <c r="U11" i="8" s="1"/>
  <c r="V11" i="8" s="1"/>
  <c r="W11" i="8" s="1"/>
  <c r="X11" i="8" s="1"/>
  <c r="Y11" i="8" s="1"/>
  <c r="Z11" i="8" s="1"/>
  <c r="AA11" i="8" s="1"/>
  <c r="AB11" i="8" s="1"/>
  <c r="AC11" i="8" s="1"/>
  <c r="AD11" i="8" s="1"/>
  <c r="AE11" i="8" s="1"/>
  <c r="AF11" i="8" s="1"/>
  <c r="AG11" i="8" s="1"/>
  <c r="AH11" i="8" s="1"/>
  <c r="AI11" i="8" s="1"/>
  <c r="AJ11" i="8" s="1"/>
  <c r="AK11" i="8" s="1"/>
  <c r="AL11" i="8" s="1"/>
  <c r="AM11" i="8" s="1"/>
  <c r="AN11" i="8" s="1"/>
  <c r="AO11" i="8" s="1"/>
  <c r="AP11" i="8" s="1"/>
  <c r="AQ11" i="8" s="1"/>
  <c r="AR11" i="8" s="1"/>
  <c r="AS11" i="8" s="1"/>
  <c r="AT11" i="8" s="1"/>
  <c r="AU11" i="8" s="1"/>
  <c r="AV11" i="8" s="1"/>
  <c r="AW11" i="8" s="1"/>
  <c r="AX11" i="8" s="1"/>
  <c r="AY11" i="8" s="1"/>
  <c r="AZ11" i="8" s="1"/>
  <c r="BA11" i="8" s="1"/>
  <c r="BB11" i="8" s="1"/>
  <c r="BC11" i="8" s="1"/>
  <c r="BD11" i="8" s="1"/>
  <c r="BE11" i="8" s="1"/>
  <c r="BF11" i="8" s="1"/>
  <c r="BG11" i="8" s="1"/>
  <c r="BH11" i="8" s="1"/>
  <c r="BI11" i="8" s="1"/>
  <c r="BJ11" i="8" s="1"/>
  <c r="BK11" i="8" s="1"/>
  <c r="BL11" i="8" s="1"/>
  <c r="BM11" i="8" s="1"/>
  <c r="BN11" i="8" s="1"/>
  <c r="BO11" i="8" s="1"/>
  <c r="BP11" i="8" s="1"/>
  <c r="BQ11" i="8" s="1"/>
  <c r="BR11" i="8" s="1"/>
  <c r="BS11" i="8" s="1"/>
  <c r="BT11" i="8" s="1"/>
  <c r="BU11" i="8" s="1"/>
  <c r="BV11" i="8" s="1"/>
  <c r="K11" i="8"/>
  <c r="M12" i="7"/>
  <c r="N12" i="7" s="1"/>
  <c r="P12" i="7" s="1"/>
  <c r="L13" i="7" s="1"/>
  <c r="BW11" i="8" l="1"/>
  <c r="BX11" i="8" s="1"/>
  <c r="BY11" i="8" s="1"/>
  <c r="BZ11" i="8" s="1"/>
  <c r="CA11" i="8" s="1"/>
  <c r="CB11" i="8" s="1"/>
  <c r="CC11" i="8" s="1"/>
  <c r="CD11" i="8" s="1"/>
  <c r="C2" i="9"/>
  <c r="C2" i="10"/>
  <c r="M13" i="7"/>
  <c r="N13" i="7" s="1"/>
  <c r="P13" i="7" s="1"/>
  <c r="L14" i="7" s="1"/>
  <c r="M14" i="7" l="1"/>
  <c r="N14" i="7" s="1"/>
  <c r="P14" i="7" s="1"/>
  <c r="L15" i="7" s="1"/>
  <c r="M15" i="7" l="1"/>
  <c r="N15" i="7" s="1"/>
  <c r="P15" i="7" s="1"/>
  <c r="L16" i="7" s="1"/>
  <c r="M16" i="7" l="1"/>
  <c r="N16" i="7" s="1"/>
  <c r="P16" i="7" s="1"/>
  <c r="L17" i="7" s="1"/>
  <c r="M17" i="7" l="1"/>
  <c r="N17" i="7" s="1"/>
  <c r="P17" i="7" s="1"/>
  <c r="L18" i="7" s="1"/>
  <c r="M18" i="7" l="1"/>
  <c r="N18" i="7" s="1"/>
  <c r="P18" i="7" s="1"/>
  <c r="L19" i="7" s="1"/>
  <c r="M19" i="7" l="1"/>
  <c r="N19" i="7" s="1"/>
  <c r="P19" i="7" s="1"/>
  <c r="L20" i="7" s="1"/>
  <c r="M20" i="7" l="1"/>
  <c r="N20" i="7" s="1"/>
  <c r="P20" i="7" s="1"/>
  <c r="L21" i="7" s="1"/>
  <c r="M21" i="7" l="1"/>
  <c r="N21" i="7" s="1"/>
  <c r="P21" i="7" s="1"/>
  <c r="L22" i="7" s="1"/>
  <c r="M22" i="7" l="1"/>
  <c r="N22" i="7" s="1"/>
  <c r="P22" i="7" s="1"/>
  <c r="L23" i="7" s="1"/>
  <c r="M23" i="7" l="1"/>
  <c r="N23" i="7" s="1"/>
  <c r="P23" i="7" s="1"/>
  <c r="L24" i="7" s="1"/>
  <c r="M24" i="7" l="1"/>
  <c r="N24" i="7" s="1"/>
  <c r="P24" i="7" s="1"/>
  <c r="L25" i="7" s="1"/>
  <c r="M25" i="7" l="1"/>
  <c r="N25" i="7" s="1"/>
  <c r="P25" i="7" s="1"/>
  <c r="L26" i="7" s="1"/>
  <c r="M26" i="7" l="1"/>
  <c r="N26" i="7" s="1"/>
  <c r="P26" i="7" s="1"/>
  <c r="R3" i="7" s="1"/>
</calcChain>
</file>

<file path=xl/sharedStrings.xml><?xml version="1.0" encoding="utf-8"?>
<sst xmlns="http://schemas.openxmlformats.org/spreadsheetml/2006/main" count="467" uniqueCount="187">
  <si>
    <t>GIRO</t>
  </si>
  <si>
    <t>EMPRESA</t>
  </si>
  <si>
    <t>LOGÍSTICA</t>
  </si>
  <si>
    <t>PRESUPUESTO</t>
  </si>
  <si>
    <t>UBICACIÓN</t>
  </si>
  <si>
    <t>NO ESPECIFICADA</t>
  </si>
  <si>
    <t>DATOS DEL NEGOCIO</t>
  </si>
  <si>
    <t>AUTOTRIN</t>
  </si>
  <si>
    <t>DATOS DEL MERCADO</t>
  </si>
  <si>
    <t>MODELO</t>
  </si>
  <si>
    <t>BARCEL</t>
  </si>
  <si>
    <t>CAFÉ LEGAL</t>
  </si>
  <si>
    <t>BACHOCO</t>
  </si>
  <si>
    <t>BARILLA</t>
  </si>
  <si>
    <t>MARINELA</t>
  </si>
  <si>
    <t>PRODUCTO</t>
  </si>
  <si>
    <t>HARINA DE MAIZ ENCOSTALADA</t>
  </si>
  <si>
    <t>CAFÉ MOLIDO ENCOSTALADO</t>
  </si>
  <si>
    <t>ALMIDÓN DE MAIZ A GRANEL</t>
  </si>
  <si>
    <t>SÉMOLA DE TRIGO A GRANEL</t>
  </si>
  <si>
    <t>HARINA DE TRIGO A GRANEL</t>
  </si>
  <si>
    <t>FORRAJE EN JAULA</t>
  </si>
  <si>
    <t>ORIGEN</t>
  </si>
  <si>
    <t>DESTINO</t>
  </si>
  <si>
    <t>PACHUCA, HGO</t>
  </si>
  <si>
    <t>GUADALAJARA, JAL</t>
  </si>
  <si>
    <t>ORIZABA, VER</t>
  </si>
  <si>
    <t>TOLUCA, EDOMEX</t>
  </si>
  <si>
    <t>CDMEX, DF</t>
  </si>
  <si>
    <t>ZACATECAS, ZAC</t>
  </si>
  <si>
    <t>AGUASCALIENTES, AGS</t>
  </si>
  <si>
    <t>SALTILLO, COAH</t>
  </si>
  <si>
    <t>SAN LUIS POTOSÍ, SLP</t>
  </si>
  <si>
    <t>TORREÓN, COAH</t>
  </si>
  <si>
    <t>MONTERREY, NL</t>
  </si>
  <si>
    <t>PROVEEDOR ACTUAL</t>
  </si>
  <si>
    <t>ATOSA</t>
  </si>
  <si>
    <t>MINERVA</t>
  </si>
  <si>
    <t>BISONTE</t>
  </si>
  <si>
    <t>GRANOVIT</t>
  </si>
  <si>
    <t>BULKMATIC</t>
  </si>
  <si>
    <t>TARIFA POR TON</t>
  </si>
  <si>
    <t>UNIDADES</t>
  </si>
  <si>
    <t>TONS MENSUALES</t>
  </si>
  <si>
    <t>BENCHMARKING</t>
  </si>
  <si>
    <t>UNIDAD</t>
  </si>
  <si>
    <t>PRECIO DE VENTA</t>
  </si>
  <si>
    <t>RENTA MENSUAL</t>
  </si>
  <si>
    <t>TRACTO 1966</t>
  </si>
  <si>
    <t>TRACTO 1992</t>
  </si>
  <si>
    <t>TRACTO 2020</t>
  </si>
  <si>
    <t>TRACTO 2002</t>
  </si>
  <si>
    <t>TRACTO 1999</t>
  </si>
  <si>
    <t>TRACTO 2001</t>
  </si>
  <si>
    <t>DEPÓSITO</t>
  </si>
  <si>
    <t>JAULA 2000</t>
  </si>
  <si>
    <t>JAULA 2005</t>
  </si>
  <si>
    <t>JAULA 1984</t>
  </si>
  <si>
    <t>CAJA SECA 2002</t>
  </si>
  <si>
    <t>CAJA SECA 1997</t>
  </si>
  <si>
    <t>CAJA SECA 2020</t>
  </si>
  <si>
    <t>TOLVA 1988</t>
  </si>
  <si>
    <t>TOLVA 2005</t>
  </si>
  <si>
    <t>TOLVA 2020</t>
  </si>
  <si>
    <t>OFERTA DE UNIDADES</t>
  </si>
  <si>
    <t>RENTA DE LOCAL</t>
  </si>
  <si>
    <t>LUZ</t>
  </si>
  <si>
    <t>AGUA</t>
  </si>
  <si>
    <t>INTERNET Y TELÉFONO</t>
  </si>
  <si>
    <t>SUELDOS</t>
  </si>
  <si>
    <t>COSTOS FIJOS MENSUALES</t>
  </si>
  <si>
    <t>BANCO</t>
  </si>
  <si>
    <t>LINEA DE CRÉDITO</t>
  </si>
  <si>
    <t>TASA ANUAL</t>
  </si>
  <si>
    <t>PLAZO</t>
  </si>
  <si>
    <t>24 MESES</t>
  </si>
  <si>
    <t>MODALIDAD</t>
  </si>
  <si>
    <t>SALDOS INSOLUTOS</t>
  </si>
  <si>
    <t>COMISIÓN X APERTURA</t>
  </si>
  <si>
    <t>COSTO X VIAJE</t>
  </si>
  <si>
    <t>TONS X VIAJE</t>
  </si>
  <si>
    <t>COSTO X TON</t>
  </si>
  <si>
    <t>UTILIDAD X TON</t>
  </si>
  <si>
    <t>UTILIDAD X VIAJE</t>
  </si>
  <si>
    <t>UTILIDAD EN %</t>
  </si>
  <si>
    <t>COSTEO</t>
  </si>
  <si>
    <t>DESCARTE POR TIPO DE EQUIPO</t>
  </si>
  <si>
    <t>DESCARTE POR PRECIO</t>
  </si>
  <si>
    <t>COSTO PREOPERATIVO DE RENTA</t>
  </si>
  <si>
    <t>COSTO PREOPERATIVO DE COMPRA</t>
  </si>
  <si>
    <t xml:space="preserve">PLAZO DE  CRÉDITO </t>
  </si>
  <si>
    <t>15 DÍAS</t>
  </si>
  <si>
    <t>DÍAS POR VIAJE</t>
  </si>
  <si>
    <t>HORARIOS DE DESCARGA</t>
  </si>
  <si>
    <t>TODOS LOS DÍAS LAS 24 HORAS</t>
  </si>
  <si>
    <t>DIAS DE CARGA</t>
  </si>
  <si>
    <t>HORARIOS DE CARGA</t>
  </si>
  <si>
    <t>LAS 24 HORAS</t>
  </si>
  <si>
    <t>LUNES - VIERNES</t>
  </si>
  <si>
    <t>LUNES - SÁBADO</t>
  </si>
  <si>
    <t>LUNES - DOMINGO</t>
  </si>
  <si>
    <t>TIEMPOS</t>
  </si>
  <si>
    <t>ROI EN MESES VS RENTA MENSUAL</t>
  </si>
  <si>
    <t>EQUIPO REQUERIDO</t>
  </si>
  <si>
    <t>CAJA SECA</t>
  </si>
  <si>
    <t xml:space="preserve">TOLVA </t>
  </si>
  <si>
    <t>JAULA</t>
  </si>
  <si>
    <t>L</t>
  </si>
  <si>
    <t>M</t>
  </si>
  <si>
    <t>J</t>
  </si>
  <si>
    <t>V</t>
  </si>
  <si>
    <t>S</t>
  </si>
  <si>
    <t>D</t>
  </si>
  <si>
    <t>VIAJES AL MES</t>
  </si>
  <si>
    <t>COSTO POR VIAJE</t>
  </si>
  <si>
    <t>VIAJES EN 15 DÍAS</t>
  </si>
  <si>
    <t>CAPITAL DE TRABAJO REQUERIDO</t>
  </si>
  <si>
    <t>FRECUENCIA DE PAGO</t>
  </si>
  <si>
    <t>CADA 15 DÍAS</t>
  </si>
  <si>
    <t>QUINCENA</t>
  </si>
  <si>
    <t>CONCEPTO</t>
  </si>
  <si>
    <t>CAPITAL DE TRABAJO</t>
  </si>
  <si>
    <t>INVERISÓN REQUERIDA</t>
  </si>
  <si>
    <t>MONTO A FINANCIAR</t>
  </si>
  <si>
    <t>AMORTIZACIÓN DEL PAGO</t>
  </si>
  <si>
    <t>CRÉDITO A SOLICITAR</t>
  </si>
  <si>
    <t>MES</t>
  </si>
  <si>
    <t>INTERÉS</t>
  </si>
  <si>
    <t>SALDO INICIAL</t>
  </si>
  <si>
    <t>SALDO A PAGAR</t>
  </si>
  <si>
    <t>ABONO</t>
  </si>
  <si>
    <t>SALDO FINAL</t>
  </si>
  <si>
    <t>INGRESOS A RECIBIR</t>
  </si>
  <si>
    <t>SALDO QUINCENAL</t>
  </si>
  <si>
    <t>VIAJES A LA QUINCENA</t>
  </si>
  <si>
    <t xml:space="preserve"> </t>
  </si>
  <si>
    <t>MES 1</t>
  </si>
  <si>
    <t>MES 2</t>
  </si>
  <si>
    <t>MES 3</t>
  </si>
  <si>
    <t>MES 4</t>
  </si>
  <si>
    <t>MES 5</t>
  </si>
  <si>
    <t>MES 6</t>
  </si>
  <si>
    <t>MES 7</t>
  </si>
  <si>
    <t>MES 8</t>
  </si>
  <si>
    <t>MES 9</t>
  </si>
  <si>
    <t>MES 10</t>
  </si>
  <si>
    <t>MES 11</t>
  </si>
  <si>
    <t>MES 12</t>
  </si>
  <si>
    <t>MES 13</t>
  </si>
  <si>
    <t>MES 14</t>
  </si>
  <si>
    <t>MES 15</t>
  </si>
  <si>
    <t>MES 16</t>
  </si>
  <si>
    <t>MES 17</t>
  </si>
  <si>
    <t>MES 18</t>
  </si>
  <si>
    <t>MES 19</t>
  </si>
  <si>
    <t>MES 20</t>
  </si>
  <si>
    <t>MES 21</t>
  </si>
  <si>
    <t>MES 22</t>
  </si>
  <si>
    <t>MES 23</t>
  </si>
  <si>
    <t>MES 24</t>
  </si>
  <si>
    <t>MES 25</t>
  </si>
  <si>
    <t>MES 26</t>
  </si>
  <si>
    <t>MES 27</t>
  </si>
  <si>
    <t>MES 28</t>
  </si>
  <si>
    <t>MES 29</t>
  </si>
  <si>
    <t>MES 30</t>
  </si>
  <si>
    <t>MES 31</t>
  </si>
  <si>
    <t>MES 32</t>
  </si>
  <si>
    <t>MES 33</t>
  </si>
  <si>
    <t>MES 34</t>
  </si>
  <si>
    <t>MES 35</t>
  </si>
  <si>
    <t>MES 36</t>
  </si>
  <si>
    <t>TOLVA 1976</t>
  </si>
  <si>
    <t>TOLVA 1999</t>
  </si>
  <si>
    <t>TRACTO 2008</t>
  </si>
  <si>
    <t>TRACTO 2005</t>
  </si>
  <si>
    <t xml:space="preserve">% RENTA </t>
  </si>
  <si>
    <t>GOLPE CIRCUNSTANCIAL</t>
  </si>
  <si>
    <t>MES 37</t>
  </si>
  <si>
    <t>MES 38</t>
  </si>
  <si>
    <t>MES 39</t>
  </si>
  <si>
    <t>MES 40</t>
  </si>
  <si>
    <t>FONDO</t>
  </si>
  <si>
    <t>INGRESO BIMESTRAL</t>
  </si>
  <si>
    <t>GASTOS DE OPERACIÓN</t>
  </si>
  <si>
    <t>UTILIDAD DE OPERACIÓN</t>
  </si>
  <si>
    <t>DISPONIBLE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</si>
</sst>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;[Red]\-&quot;$&quot;#,##0"/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-0.49998474074526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98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 vertical="center"/>
    </xf>
    <xf numFmtId="44" fontId="0" fillId="0" borderId="0" xfId="2" applyFont="1"/>
    <xf numFmtId="164" fontId="0" fillId="0" borderId="1" xfId="1" applyNumberFormat="1" applyFont="1" applyBorder="1" applyAlignment="1">
      <alignment horizontal="center"/>
    </xf>
    <xf numFmtId="44" fontId="0" fillId="0" borderId="1" xfId="2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44" fontId="2" fillId="2" borderId="6" xfId="2" applyFont="1" applyFill="1" applyBorder="1" applyAlignment="1">
      <alignment horizontal="center" vertical="center"/>
    </xf>
    <xf numFmtId="0" fontId="0" fillId="0" borderId="5" xfId="0" applyBorder="1" applyAlignment="1">
      <alignment horizontal="center"/>
    </xf>
    <xf numFmtId="44" fontId="0" fillId="0" borderId="6" xfId="2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164" fontId="0" fillId="0" borderId="8" xfId="1" applyNumberFormat="1" applyFont="1" applyBorder="1" applyAlignment="1">
      <alignment horizontal="center"/>
    </xf>
    <xf numFmtId="44" fontId="0" fillId="0" borderId="9" xfId="2" applyFont="1" applyBorder="1" applyAlignment="1">
      <alignment horizontal="center"/>
    </xf>
    <xf numFmtId="0" fontId="0" fillId="0" borderId="5" xfId="0" applyBorder="1"/>
    <xf numFmtId="0" fontId="0" fillId="0" borderId="6" xfId="0" applyBorder="1" applyAlignment="1">
      <alignment horizontal="center"/>
    </xf>
    <xf numFmtId="6" fontId="0" fillId="0" borderId="6" xfId="0" applyNumberFormat="1" applyBorder="1" applyAlignment="1">
      <alignment horizontal="center"/>
    </xf>
    <xf numFmtId="0" fontId="0" fillId="0" borderId="7" xfId="0" applyBorder="1"/>
    <xf numFmtId="0" fontId="0" fillId="0" borderId="9" xfId="0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0" fillId="0" borderId="6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44" fontId="0" fillId="0" borderId="1" xfId="2" applyFont="1" applyBorder="1"/>
    <xf numFmtId="0" fontId="0" fillId="0" borderId="5" xfId="0" applyFill="1" applyBorder="1" applyAlignment="1">
      <alignment horizontal="center"/>
    </xf>
    <xf numFmtId="44" fontId="0" fillId="0" borderId="6" xfId="2" applyFont="1" applyBorder="1"/>
    <xf numFmtId="0" fontId="0" fillId="0" borderId="7" xfId="0" applyFill="1" applyBorder="1" applyAlignment="1">
      <alignment horizontal="center"/>
    </xf>
    <xf numFmtId="44" fontId="0" fillId="0" borderId="8" xfId="2" applyFont="1" applyBorder="1" applyAlignment="1">
      <alignment horizontal="center"/>
    </xf>
    <xf numFmtId="44" fontId="0" fillId="0" borderId="8" xfId="2" applyFont="1" applyBorder="1"/>
    <xf numFmtId="44" fontId="0" fillId="0" borderId="9" xfId="2" applyFont="1" applyBorder="1"/>
    <xf numFmtId="9" fontId="0" fillId="0" borderId="6" xfId="2" applyNumberFormat="1" applyFont="1" applyBorder="1"/>
    <xf numFmtId="9" fontId="0" fillId="0" borderId="9" xfId="2" applyNumberFormat="1" applyFont="1" applyBorder="1"/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44" fontId="2" fillId="2" borderId="10" xfId="2" applyFont="1" applyFill="1" applyBorder="1" applyAlignment="1">
      <alignment horizontal="center" vertical="center" wrapText="1"/>
    </xf>
    <xf numFmtId="44" fontId="0" fillId="0" borderId="10" xfId="2" applyFont="1" applyBorder="1" applyAlignment="1">
      <alignment horizontal="center"/>
    </xf>
    <xf numFmtId="44" fontId="0" fillId="0" borderId="11" xfId="2" applyFont="1" applyBorder="1" applyAlignment="1">
      <alignment horizontal="center"/>
    </xf>
    <xf numFmtId="0" fontId="0" fillId="0" borderId="1" xfId="0" applyBorder="1"/>
    <xf numFmtId="44" fontId="0" fillId="0" borderId="1" xfId="0" applyNumberFormat="1" applyBorder="1"/>
    <xf numFmtId="44" fontId="0" fillId="0" borderId="5" xfId="2" applyFont="1" applyBorder="1"/>
    <xf numFmtId="44" fontId="0" fillId="0" borderId="6" xfId="0" applyNumberFormat="1" applyBorder="1"/>
    <xf numFmtId="44" fontId="0" fillId="0" borderId="7" xfId="2" applyFont="1" applyBorder="1"/>
    <xf numFmtId="0" fontId="0" fillId="0" borderId="8" xfId="0" applyBorder="1"/>
    <xf numFmtId="9" fontId="3" fillId="0" borderId="6" xfId="3" applyFont="1" applyBorder="1"/>
    <xf numFmtId="9" fontId="3" fillId="0" borderId="9" xfId="3" applyFont="1" applyBorder="1"/>
    <xf numFmtId="44" fontId="0" fillId="0" borderId="8" xfId="0" applyNumberFormat="1" applyBorder="1"/>
    <xf numFmtId="44" fontId="0" fillId="0" borderId="9" xfId="0" applyNumberFormat="1" applyBorder="1"/>
    <xf numFmtId="44" fontId="2" fillId="3" borderId="2" xfId="2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0" fillId="0" borderId="16" xfId="0" applyBorder="1"/>
    <xf numFmtId="0" fontId="2" fillId="2" borderId="15" xfId="0" applyFont="1" applyFill="1" applyBorder="1"/>
    <xf numFmtId="6" fontId="0" fillId="0" borderId="16" xfId="0" applyNumberFormat="1" applyBorder="1"/>
    <xf numFmtId="44" fontId="0" fillId="0" borderId="10" xfId="2" applyFont="1" applyBorder="1"/>
    <xf numFmtId="44" fontId="0" fillId="0" borderId="11" xfId="2" applyFont="1" applyBorder="1"/>
    <xf numFmtId="44" fontId="0" fillId="0" borderId="19" xfId="2" applyFont="1" applyBorder="1"/>
    <xf numFmtId="44" fontId="0" fillId="4" borderId="19" xfId="2" applyFont="1" applyFill="1" applyBorder="1"/>
    <xf numFmtId="44" fontId="0" fillId="0" borderId="20" xfId="2" applyFont="1" applyBorder="1"/>
    <xf numFmtId="44" fontId="0" fillId="0" borderId="0" xfId="0" applyNumberFormat="1"/>
    <xf numFmtId="0" fontId="2" fillId="2" borderId="10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44" fontId="0" fillId="0" borderId="21" xfId="2" applyFont="1" applyBorder="1"/>
    <xf numFmtId="44" fontId="0" fillId="4" borderId="21" xfId="2" applyFont="1" applyFill="1" applyBorder="1"/>
    <xf numFmtId="44" fontId="0" fillId="4" borderId="22" xfId="2" applyFont="1" applyFill="1" applyBorder="1"/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44" fontId="0" fillId="0" borderId="5" xfId="2" applyFont="1" applyFill="1" applyBorder="1"/>
    <xf numFmtId="0" fontId="0" fillId="0" borderId="6" xfId="0" applyBorder="1"/>
    <xf numFmtId="44" fontId="0" fillId="0" borderId="5" xfId="0" applyNumberFormat="1" applyBorder="1"/>
    <xf numFmtId="0" fontId="0" fillId="0" borderId="9" xfId="0" applyBorder="1"/>
    <xf numFmtId="43" fontId="2" fillId="2" borderId="18" xfId="1" applyFont="1" applyFill="1" applyBorder="1" applyAlignment="1">
      <alignment horizontal="center" vertical="center" wrapText="1"/>
    </xf>
    <xf numFmtId="43" fontId="0" fillId="0" borderId="19" xfId="1" applyFont="1" applyBorder="1"/>
    <xf numFmtId="43" fontId="0" fillId="0" borderId="20" xfId="1" applyFont="1" applyBorder="1"/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2" fillId="5" borderId="18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8" borderId="2" xfId="0" applyFont="1" applyFill="1" applyBorder="1" applyAlignment="1">
      <alignment horizontal="center" vertical="center"/>
    </xf>
    <xf numFmtId="0" fontId="2" fillId="8" borderId="3" xfId="0" applyFont="1" applyFill="1" applyBorder="1" applyAlignment="1">
      <alignment horizontal="center" vertical="center"/>
    </xf>
    <xf numFmtId="0" fontId="2" fillId="8" borderId="4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7" borderId="15" xfId="0" applyFont="1" applyFill="1" applyBorder="1" applyAlignment="1">
      <alignment horizontal="center" vertical="center"/>
    </xf>
    <xf numFmtId="0" fontId="4" fillId="7" borderId="23" xfId="0" applyFont="1" applyFill="1" applyBorder="1" applyAlignment="1">
      <alignment horizontal="center" vertical="center"/>
    </xf>
    <xf numFmtId="0" fontId="4" fillId="7" borderId="16" xfId="0" applyFont="1" applyFill="1" applyBorder="1" applyAlignment="1">
      <alignment horizontal="center" vertical="center"/>
    </xf>
    <xf numFmtId="0" fontId="2" fillId="8" borderId="18" xfId="0" applyFont="1" applyFill="1" applyBorder="1" applyAlignment="1">
      <alignment horizontal="center" vertical="center" wrapText="1"/>
    </xf>
    <xf numFmtId="44" fontId="0" fillId="0" borderId="19" xfId="0" applyNumberFormat="1" applyBorder="1"/>
    <xf numFmtId="44" fontId="0" fillId="0" borderId="20" xfId="0" applyNumberFormat="1" applyBorder="1"/>
    <xf numFmtId="0" fontId="0" fillId="0" borderId="1" xfId="0" applyBorder="1" applyAlignment="1">
      <alignment horizontal="center"/>
    </xf>
    <xf numFmtId="0" fontId="0" fillId="0" borderId="8" xfId="0" applyBorder="1" applyAlignment="1">
      <alignment horizontal="center"/>
    </xf>
    <xf numFmtId="0" fontId="2" fillId="8" borderId="2" xfId="0" applyFont="1" applyFill="1" applyBorder="1" applyAlignment="1">
      <alignment horizontal="center"/>
    </xf>
    <xf numFmtId="0" fontId="2" fillId="8" borderId="5" xfId="0" applyFont="1" applyFill="1" applyBorder="1" applyAlignment="1">
      <alignment horizontal="center"/>
    </xf>
    <xf numFmtId="0" fontId="2" fillId="8" borderId="7" xfId="0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 vertical="center" wrapText="1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19" xfId="0" applyBorder="1"/>
    <xf numFmtId="0" fontId="0" fillId="0" borderId="20" xfId="0" applyBorder="1"/>
    <xf numFmtId="44" fontId="0" fillId="0" borderId="1" xfId="0" applyNumberFormat="1" applyBorder="1" applyAlignment="1">
      <alignment horizontal="center" vertical="center"/>
    </xf>
    <xf numFmtId="6" fontId="0" fillId="0" borderId="1" xfId="0" applyNumberFormat="1" applyBorder="1" applyAlignment="1">
      <alignment horizontal="center" vertical="center"/>
    </xf>
    <xf numFmtId="0" fontId="2" fillId="9" borderId="1" xfId="0" applyFont="1" applyFill="1" applyBorder="1" applyAlignment="1">
      <alignment horizontal="center" vertical="center"/>
    </xf>
    <xf numFmtId="44" fontId="0" fillId="0" borderId="1" xfId="2" applyFont="1" applyBorder="1" applyAlignment="1">
      <alignment horizontal="center" vertical="center"/>
    </xf>
    <xf numFmtId="0" fontId="2" fillId="4" borderId="2" xfId="0" applyFont="1" applyFill="1" applyBorder="1" applyAlignment="1">
      <alignment horizontal="center"/>
    </xf>
    <xf numFmtId="0" fontId="2" fillId="9" borderId="5" xfId="0" applyFont="1" applyFill="1" applyBorder="1"/>
    <xf numFmtId="0" fontId="2" fillId="9" borderId="6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44" fontId="0" fillId="0" borderId="6" xfId="0" applyNumberFormat="1" applyBorder="1" applyAlignment="1">
      <alignment horizontal="center" vertical="center"/>
    </xf>
    <xf numFmtId="44" fontId="0" fillId="0" borderId="6" xfId="2" applyFont="1" applyBorder="1" applyAlignment="1">
      <alignment horizontal="center" vertical="center"/>
    </xf>
    <xf numFmtId="0" fontId="0" fillId="0" borderId="5" xfId="0" applyBorder="1" applyAlignment="1">
      <alignment wrapText="1"/>
    </xf>
    <xf numFmtId="0" fontId="0" fillId="0" borderId="5" xfId="0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8" fontId="0" fillId="0" borderId="8" xfId="0" applyNumberFormat="1" applyBorder="1"/>
    <xf numFmtId="8" fontId="0" fillId="0" borderId="9" xfId="0" applyNumberFormat="1" applyBorder="1"/>
    <xf numFmtId="0" fontId="2" fillId="2" borderId="5" xfId="0" applyFont="1" applyFill="1" applyBorder="1"/>
    <xf numFmtId="44" fontId="2" fillId="2" borderId="1" xfId="2" applyFont="1" applyFill="1" applyBorder="1"/>
    <xf numFmtId="0" fontId="2" fillId="2" borderId="6" xfId="0" applyFont="1" applyFill="1" applyBorder="1"/>
    <xf numFmtId="44" fontId="2" fillId="2" borderId="0" xfId="0" applyNumberFormat="1" applyFont="1" applyFill="1"/>
    <xf numFmtId="0" fontId="2" fillId="4" borderId="24" xfId="0" applyFont="1" applyFill="1" applyBorder="1" applyAlignment="1">
      <alignment horizontal="center"/>
    </xf>
    <xf numFmtId="0" fontId="2" fillId="2" borderId="2" xfId="0" applyFont="1" applyFill="1" applyBorder="1"/>
    <xf numFmtId="0" fontId="2" fillId="2" borderId="5" xfId="0" applyFont="1" applyFill="1" applyBorder="1" applyAlignment="1">
      <alignment wrapText="1"/>
    </xf>
    <xf numFmtId="0" fontId="2" fillId="2" borderId="7" xfId="0" applyFont="1" applyFill="1" applyBorder="1" applyAlignment="1">
      <alignment horizontal="center" vertical="center" wrapText="1"/>
    </xf>
    <xf numFmtId="44" fontId="0" fillId="6" borderId="1" xfId="2" applyFont="1" applyFill="1" applyBorder="1" applyAlignment="1">
      <alignment horizontal="center" vertical="center"/>
    </xf>
    <xf numFmtId="0" fontId="0" fillId="6" borderId="5" xfId="0" applyFill="1" applyBorder="1" applyAlignment="1">
      <alignment horizontal="center"/>
    </xf>
    <xf numFmtId="44" fontId="0" fillId="6" borderId="1" xfId="2" applyFont="1" applyFill="1" applyBorder="1" applyAlignment="1">
      <alignment horizontal="center"/>
    </xf>
    <xf numFmtId="44" fontId="0" fillId="6" borderId="1" xfId="2" applyFont="1" applyFill="1" applyBorder="1"/>
    <xf numFmtId="44" fontId="0" fillId="6" borderId="10" xfId="2" applyFont="1" applyFill="1" applyBorder="1"/>
    <xf numFmtId="44" fontId="0" fillId="6" borderId="19" xfId="2" applyFont="1" applyFill="1" applyBorder="1"/>
    <xf numFmtId="44" fontId="0" fillId="6" borderId="5" xfId="0" applyNumberFormat="1" applyFill="1" applyBorder="1"/>
    <xf numFmtId="44" fontId="0" fillId="6" borderId="6" xfId="2" applyFont="1" applyFill="1" applyBorder="1"/>
    <xf numFmtId="0" fontId="0" fillId="6" borderId="0" xfId="0" applyFill="1"/>
    <xf numFmtId="43" fontId="0" fillId="6" borderId="19" xfId="1" applyFont="1" applyFill="1" applyBorder="1"/>
    <xf numFmtId="0" fontId="2" fillId="2" borderId="3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44" fontId="0" fillId="0" borderId="7" xfId="0" applyNumberFormat="1" applyBorder="1"/>
    <xf numFmtId="9" fontId="0" fillId="0" borderId="0" xfId="3" applyFont="1"/>
    <xf numFmtId="9" fontId="0" fillId="0" borderId="19" xfId="3" applyFont="1" applyBorder="1"/>
    <xf numFmtId="9" fontId="0" fillId="0" borderId="20" xfId="3" applyFont="1" applyBorder="1"/>
    <xf numFmtId="9" fontId="0" fillId="6" borderId="19" xfId="3" applyFont="1" applyFill="1" applyBorder="1"/>
    <xf numFmtId="0" fontId="0" fillId="11" borderId="5" xfId="0" applyFill="1" applyBorder="1" applyAlignment="1">
      <alignment horizontal="center"/>
    </xf>
    <xf numFmtId="44" fontId="0" fillId="11" borderId="1" xfId="2" applyFont="1" applyFill="1" applyBorder="1" applyAlignment="1">
      <alignment horizontal="center"/>
    </xf>
    <xf numFmtId="44" fontId="0" fillId="11" borderId="1" xfId="2" applyFont="1" applyFill="1" applyBorder="1"/>
    <xf numFmtId="44" fontId="0" fillId="11" borderId="10" xfId="2" applyFont="1" applyFill="1" applyBorder="1"/>
    <xf numFmtId="44" fontId="0" fillId="11" borderId="19" xfId="2" applyFont="1" applyFill="1" applyBorder="1"/>
    <xf numFmtId="44" fontId="0" fillId="11" borderId="5" xfId="2" applyFont="1" applyFill="1" applyBorder="1"/>
    <xf numFmtId="44" fontId="0" fillId="11" borderId="6" xfId="2" applyFont="1" applyFill="1" applyBorder="1"/>
    <xf numFmtId="44" fontId="0" fillId="11" borderId="5" xfId="0" applyNumberFormat="1" applyFill="1" applyBorder="1"/>
    <xf numFmtId="0" fontId="0" fillId="11" borderId="0" xfId="0" applyFill="1"/>
    <xf numFmtId="43" fontId="0" fillId="11" borderId="19" xfId="1" applyFont="1" applyFill="1" applyBorder="1"/>
    <xf numFmtId="9" fontId="0" fillId="11" borderId="19" xfId="3" applyFont="1" applyFill="1" applyBorder="1"/>
    <xf numFmtId="8" fontId="0" fillId="6" borderId="8" xfId="0" applyNumberFormat="1" applyFill="1" applyBorder="1"/>
    <xf numFmtId="0" fontId="2" fillId="4" borderId="29" xfId="0" applyFont="1" applyFill="1" applyBorder="1" applyAlignment="1">
      <alignment horizontal="center"/>
    </xf>
    <xf numFmtId="0" fontId="4" fillId="6" borderId="15" xfId="0" applyFont="1" applyFill="1" applyBorder="1" applyAlignment="1">
      <alignment horizontal="center"/>
    </xf>
    <xf numFmtId="44" fontId="4" fillId="10" borderId="16" xfId="2" applyFont="1" applyFill="1" applyBorder="1" applyAlignment="1">
      <alignment horizontal="center"/>
    </xf>
    <xf numFmtId="44" fontId="0" fillId="0" borderId="4" xfId="0" applyNumberFormat="1" applyBorder="1"/>
    <xf numFmtId="0" fontId="2" fillId="2" borderId="2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44" fontId="2" fillId="3" borderId="12" xfId="2" applyFont="1" applyFill="1" applyBorder="1" applyAlignment="1">
      <alignment horizontal="center"/>
    </xf>
    <xf numFmtId="44" fontId="2" fillId="3" borderId="13" xfId="2" applyFont="1" applyFill="1" applyBorder="1" applyAlignment="1">
      <alignment horizontal="center"/>
    </xf>
    <xf numFmtId="44" fontId="2" fillId="3" borderId="14" xfId="2" applyFont="1" applyFill="1" applyBorder="1" applyAlignment="1">
      <alignment horizontal="center"/>
    </xf>
    <xf numFmtId="0" fontId="2" fillId="5" borderId="12" xfId="0" applyFont="1" applyFill="1" applyBorder="1" applyAlignment="1">
      <alignment horizontal="center"/>
    </xf>
    <xf numFmtId="0" fontId="2" fillId="5" borderId="14" xfId="0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0" fontId="2" fillId="9" borderId="3" xfId="0" applyFont="1" applyFill="1" applyBorder="1" applyAlignment="1">
      <alignment horizontal="center" vertical="center"/>
    </xf>
    <xf numFmtId="0" fontId="2" fillId="9" borderId="4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/>
    </xf>
    <xf numFmtId="0" fontId="2" fillId="2" borderId="25" xfId="0" applyFont="1" applyFill="1" applyBorder="1" applyAlignment="1">
      <alignment horizontal="center"/>
    </xf>
    <xf numFmtId="0" fontId="2" fillId="2" borderId="28" xfId="0" applyFont="1" applyFill="1" applyBorder="1" applyAlignment="1">
      <alignment horizontal="center"/>
    </xf>
    <xf numFmtId="0" fontId="5" fillId="12" borderId="2" xfId="0" applyFont="1" applyFill="1" applyBorder="1" applyAlignment="1">
      <alignment horizontal="center"/>
    </xf>
    <xf numFmtId="0" fontId="5" fillId="12" borderId="3" xfId="0" applyFont="1" applyFill="1" applyBorder="1" applyAlignment="1">
      <alignment horizontal="center"/>
    </xf>
    <xf numFmtId="0" fontId="5" fillId="12" borderId="5" xfId="0" applyFont="1" applyFill="1" applyBorder="1" applyAlignment="1">
      <alignment horizontal="center"/>
    </xf>
    <xf numFmtId="0" fontId="5" fillId="12" borderId="1" xfId="0" applyFont="1" applyFill="1" applyBorder="1" applyAlignment="1">
      <alignment horizontal="center"/>
    </xf>
    <xf numFmtId="0" fontId="5" fillId="12" borderId="7" xfId="0" applyFont="1" applyFill="1" applyBorder="1" applyAlignment="1">
      <alignment horizontal="center"/>
    </xf>
    <xf numFmtId="0" fontId="5" fillId="12" borderId="8" xfId="0" applyFont="1" applyFill="1" applyBorder="1" applyAlignment="1">
      <alignment horizontal="center"/>
    </xf>
    <xf numFmtId="0" fontId="2" fillId="9" borderId="30" xfId="0" applyFont="1" applyFill="1" applyBorder="1" applyAlignment="1">
      <alignment horizontal="center" vertical="center"/>
    </xf>
  </cellXfs>
  <cellStyles count="4">
    <cellStyle name="Millares" xfId="1" builtinId="3"/>
    <cellStyle name="Moneda" xfId="2" builtinId="4"/>
    <cellStyle name="Normal" xfId="0" builtinId="0"/>
    <cellStyle name="Porcentaje" xfId="3" builtinId="5"/>
  </cellStyles>
  <dxfs count="4">
    <dxf>
      <font>
        <color rgb="FFC00000"/>
      </font>
      <fill>
        <patternFill patternType="none">
          <bgColor auto="1"/>
        </patternFill>
      </fill>
    </dxf>
    <dxf>
      <font>
        <color rgb="FFC00000"/>
      </font>
      <fill>
        <patternFill patternType="none">
          <bgColor auto="1"/>
        </patternFill>
      </fill>
    </dxf>
    <dxf>
      <font>
        <color rgb="FFC00000"/>
      </font>
      <fill>
        <patternFill patternType="none">
          <bgColor auto="1"/>
        </patternFill>
      </fill>
    </dxf>
    <dxf>
      <font>
        <color theme="1"/>
      </font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35"/>
  <sheetViews>
    <sheetView tabSelected="1" topLeftCell="A16" workbookViewId="0">
      <selection activeCell="G19" sqref="G19:H24"/>
    </sheetView>
  </sheetViews>
  <sheetFormatPr baseColWidth="10" defaultRowHeight="14.5" x14ac:dyDescent="0.35"/>
  <cols>
    <col min="2" max="2" width="15.81640625" customWidth="1"/>
    <col min="3" max="3" width="34" style="1" customWidth="1"/>
    <col min="4" max="4" width="18.7265625" customWidth="1"/>
    <col min="5" max="5" width="21.1796875" customWidth="1"/>
    <col min="6" max="6" width="21.26953125" bestFit="1" customWidth="1"/>
    <col min="7" max="7" width="21" customWidth="1"/>
    <col min="8" max="8" width="19.26953125" style="4" customWidth="1"/>
  </cols>
  <sheetData>
    <row r="1" spans="2:8" ht="15" thickBot="1" x14ac:dyDescent="0.4"/>
    <row r="2" spans="2:8" ht="15" thickBot="1" x14ac:dyDescent="0.4">
      <c r="E2" s="166" t="s">
        <v>44</v>
      </c>
      <c r="F2" s="167"/>
    </row>
    <row r="3" spans="2:8" x14ac:dyDescent="0.35">
      <c r="B3" s="166" t="s">
        <v>6</v>
      </c>
      <c r="C3" s="167"/>
      <c r="E3" s="25" t="s">
        <v>1</v>
      </c>
      <c r="F3" s="26" t="s">
        <v>42</v>
      </c>
    </row>
    <row r="4" spans="2:8" x14ac:dyDescent="0.35">
      <c r="B4" s="20" t="s">
        <v>1</v>
      </c>
      <c r="C4" s="21" t="s">
        <v>7</v>
      </c>
      <c r="E4" s="20" t="s">
        <v>36</v>
      </c>
      <c r="F4" s="27">
        <v>10</v>
      </c>
    </row>
    <row r="5" spans="2:8" x14ac:dyDescent="0.35">
      <c r="B5" s="20" t="s">
        <v>0</v>
      </c>
      <c r="C5" s="21" t="s">
        <v>2</v>
      </c>
      <c r="E5" s="20" t="s">
        <v>37</v>
      </c>
      <c r="F5" s="27">
        <v>3</v>
      </c>
    </row>
    <row r="6" spans="2:8" x14ac:dyDescent="0.35">
      <c r="B6" s="20" t="s">
        <v>3</v>
      </c>
      <c r="C6" s="22">
        <v>200000</v>
      </c>
      <c r="E6" s="20" t="s">
        <v>38</v>
      </c>
      <c r="F6" s="27">
        <v>12</v>
      </c>
    </row>
    <row r="7" spans="2:8" ht="15" thickBot="1" x14ac:dyDescent="0.4">
      <c r="B7" s="23" t="s">
        <v>4</v>
      </c>
      <c r="C7" s="24" t="s">
        <v>5</v>
      </c>
      <c r="E7" s="20" t="s">
        <v>39</v>
      </c>
      <c r="F7" s="27">
        <v>3</v>
      </c>
    </row>
    <row r="8" spans="2:8" ht="15" thickBot="1" x14ac:dyDescent="0.4">
      <c r="E8" s="23" t="s">
        <v>40</v>
      </c>
      <c r="F8" s="28">
        <v>6</v>
      </c>
    </row>
    <row r="9" spans="2:8" ht="15" thickBot="1" x14ac:dyDescent="0.4">
      <c r="E9" s="10"/>
      <c r="F9" s="11"/>
    </row>
    <row r="10" spans="2:8" s="3" customFormat="1" x14ac:dyDescent="0.35">
      <c r="B10" s="168" t="s">
        <v>8</v>
      </c>
      <c r="C10" s="169"/>
      <c r="D10" s="169"/>
      <c r="E10" s="169"/>
      <c r="F10" s="169"/>
      <c r="G10" s="169"/>
      <c r="H10" s="170"/>
    </row>
    <row r="11" spans="2:8" s="3" customFormat="1" x14ac:dyDescent="0.35">
      <c r="B11" s="12" t="s">
        <v>1</v>
      </c>
      <c r="C11" s="7" t="s">
        <v>15</v>
      </c>
      <c r="D11" s="7" t="s">
        <v>43</v>
      </c>
      <c r="E11" s="7" t="s">
        <v>22</v>
      </c>
      <c r="F11" s="7" t="s">
        <v>23</v>
      </c>
      <c r="G11" s="7" t="s">
        <v>35</v>
      </c>
      <c r="H11" s="13" t="s">
        <v>41</v>
      </c>
    </row>
    <row r="12" spans="2:8" s="1" customFormat="1" x14ac:dyDescent="0.35">
      <c r="B12" s="14" t="s">
        <v>10</v>
      </c>
      <c r="C12" s="2" t="s">
        <v>16</v>
      </c>
      <c r="D12" s="5">
        <v>2000</v>
      </c>
      <c r="E12" s="2" t="s">
        <v>24</v>
      </c>
      <c r="F12" s="2" t="s">
        <v>25</v>
      </c>
      <c r="G12" s="2" t="s">
        <v>36</v>
      </c>
      <c r="H12" s="15">
        <v>700</v>
      </c>
    </row>
    <row r="13" spans="2:8" s="1" customFormat="1" x14ac:dyDescent="0.35">
      <c r="B13" s="14" t="s">
        <v>11</v>
      </c>
      <c r="C13" s="2" t="s">
        <v>17</v>
      </c>
      <c r="D13" s="5">
        <v>650</v>
      </c>
      <c r="E13" s="2" t="s">
        <v>26</v>
      </c>
      <c r="F13" s="2" t="s">
        <v>27</v>
      </c>
      <c r="G13" s="2" t="s">
        <v>37</v>
      </c>
      <c r="H13" s="15">
        <v>540</v>
      </c>
    </row>
    <row r="14" spans="2:8" s="1" customFormat="1" x14ac:dyDescent="0.35">
      <c r="B14" s="14" t="s">
        <v>9</v>
      </c>
      <c r="C14" s="2" t="s">
        <v>18</v>
      </c>
      <c r="D14" s="5">
        <v>9200</v>
      </c>
      <c r="E14" s="2" t="s">
        <v>28</v>
      </c>
      <c r="F14" s="2" t="s">
        <v>29</v>
      </c>
      <c r="G14" s="2" t="s">
        <v>38</v>
      </c>
      <c r="H14" s="15">
        <v>1600</v>
      </c>
    </row>
    <row r="15" spans="2:8" s="1" customFormat="1" x14ac:dyDescent="0.35">
      <c r="B15" s="14" t="s">
        <v>12</v>
      </c>
      <c r="C15" s="2" t="s">
        <v>21</v>
      </c>
      <c r="D15" s="5">
        <v>1800</v>
      </c>
      <c r="E15" s="2" t="s">
        <v>31</v>
      </c>
      <c r="F15" s="2" t="s">
        <v>30</v>
      </c>
      <c r="G15" s="2" t="s">
        <v>39</v>
      </c>
      <c r="H15" s="15">
        <v>1200</v>
      </c>
    </row>
    <row r="16" spans="2:8" s="1" customFormat="1" x14ac:dyDescent="0.35">
      <c r="B16" s="14" t="s">
        <v>13</v>
      </c>
      <c r="C16" s="2" t="s">
        <v>19</v>
      </c>
      <c r="D16" s="5">
        <v>2500</v>
      </c>
      <c r="E16" s="2" t="s">
        <v>32</v>
      </c>
      <c r="F16" s="2" t="s">
        <v>32</v>
      </c>
      <c r="G16" s="2" t="s">
        <v>36</v>
      </c>
      <c r="H16" s="15">
        <v>240</v>
      </c>
    </row>
    <row r="17" spans="2:8" s="1" customFormat="1" ht="15" thickBot="1" x14ac:dyDescent="0.4">
      <c r="B17" s="16" t="s">
        <v>14</v>
      </c>
      <c r="C17" s="17" t="s">
        <v>20</v>
      </c>
      <c r="D17" s="18">
        <v>4200</v>
      </c>
      <c r="E17" s="17" t="s">
        <v>33</v>
      </c>
      <c r="F17" s="17" t="s">
        <v>34</v>
      </c>
      <c r="G17" s="17" t="s">
        <v>40</v>
      </c>
      <c r="H17" s="19">
        <v>840</v>
      </c>
    </row>
    <row r="18" spans="2:8" ht="15" thickBot="1" x14ac:dyDescent="0.4"/>
    <row r="19" spans="2:8" x14ac:dyDescent="0.35">
      <c r="B19" s="166" t="s">
        <v>64</v>
      </c>
      <c r="C19" s="171"/>
      <c r="D19" s="171"/>
      <c r="E19" s="167"/>
      <c r="G19" s="166" t="s">
        <v>70</v>
      </c>
      <c r="H19" s="167"/>
    </row>
    <row r="20" spans="2:8" x14ac:dyDescent="0.35">
      <c r="B20" s="25" t="s">
        <v>45</v>
      </c>
      <c r="C20" s="9" t="s">
        <v>46</v>
      </c>
      <c r="D20" s="8" t="s">
        <v>47</v>
      </c>
      <c r="E20" s="26" t="s">
        <v>54</v>
      </c>
      <c r="G20" s="30" t="s">
        <v>65</v>
      </c>
      <c r="H20" s="31">
        <v>3000</v>
      </c>
    </row>
    <row r="21" spans="2:8" x14ac:dyDescent="0.35">
      <c r="B21" s="30" t="s">
        <v>48</v>
      </c>
      <c r="C21" s="6">
        <v>125000</v>
      </c>
      <c r="D21" s="29">
        <v>30000</v>
      </c>
      <c r="E21" s="31">
        <v>20000</v>
      </c>
      <c r="G21" s="30" t="s">
        <v>66</v>
      </c>
      <c r="H21" s="31">
        <v>100</v>
      </c>
    </row>
    <row r="22" spans="2:8" x14ac:dyDescent="0.35">
      <c r="B22" s="30" t="s">
        <v>49</v>
      </c>
      <c r="C22" s="6">
        <v>100000</v>
      </c>
      <c r="D22" s="29">
        <v>0</v>
      </c>
      <c r="E22" s="31">
        <v>0</v>
      </c>
      <c r="G22" s="30" t="s">
        <v>67</v>
      </c>
      <c r="H22" s="31">
        <v>50</v>
      </c>
    </row>
    <row r="23" spans="2:8" x14ac:dyDescent="0.35">
      <c r="B23" s="30" t="s">
        <v>50</v>
      </c>
      <c r="C23" s="6">
        <v>2230000</v>
      </c>
      <c r="D23" s="29">
        <v>150000</v>
      </c>
      <c r="E23" s="31">
        <v>300000</v>
      </c>
      <c r="G23" s="30" t="s">
        <v>68</v>
      </c>
      <c r="H23" s="31">
        <v>500</v>
      </c>
    </row>
    <row r="24" spans="2:8" ht="15" thickBot="1" x14ac:dyDescent="0.4">
      <c r="B24" s="30" t="s">
        <v>51</v>
      </c>
      <c r="C24" s="6">
        <v>485000</v>
      </c>
      <c r="D24" s="29">
        <v>0</v>
      </c>
      <c r="E24" s="31">
        <v>0</v>
      </c>
      <c r="G24" s="32" t="s">
        <v>69</v>
      </c>
      <c r="H24" s="35">
        <v>50000</v>
      </c>
    </row>
    <row r="25" spans="2:8" ht="15" thickBot="1" x14ac:dyDescent="0.4">
      <c r="B25" s="30" t="s">
        <v>52</v>
      </c>
      <c r="C25" s="6">
        <v>320000</v>
      </c>
      <c r="D25" s="29">
        <v>75000</v>
      </c>
      <c r="E25" s="31">
        <v>0</v>
      </c>
    </row>
    <row r="26" spans="2:8" x14ac:dyDescent="0.35">
      <c r="B26" s="30" t="s">
        <v>53</v>
      </c>
      <c r="C26" s="6">
        <v>180000</v>
      </c>
      <c r="D26" s="29">
        <v>52000</v>
      </c>
      <c r="E26" s="31">
        <v>18000</v>
      </c>
      <c r="G26" s="166" t="s">
        <v>71</v>
      </c>
      <c r="H26" s="167"/>
    </row>
    <row r="27" spans="2:8" x14ac:dyDescent="0.35">
      <c r="B27" s="30" t="s">
        <v>55</v>
      </c>
      <c r="C27" s="6">
        <v>85000</v>
      </c>
      <c r="D27" s="29">
        <v>15000</v>
      </c>
      <c r="E27" s="31">
        <v>0</v>
      </c>
      <c r="G27" s="30" t="s">
        <v>72</v>
      </c>
      <c r="H27" s="31">
        <v>300000</v>
      </c>
    </row>
    <row r="28" spans="2:8" x14ac:dyDescent="0.35">
      <c r="B28" s="30" t="s">
        <v>56</v>
      </c>
      <c r="C28" s="6">
        <v>220000</v>
      </c>
      <c r="D28" s="29">
        <v>0</v>
      </c>
      <c r="E28" s="31">
        <v>0</v>
      </c>
      <c r="G28" s="30" t="s">
        <v>73</v>
      </c>
      <c r="H28" s="36">
        <v>0.97</v>
      </c>
    </row>
    <row r="29" spans="2:8" x14ac:dyDescent="0.35">
      <c r="B29" s="30" t="s">
        <v>57</v>
      </c>
      <c r="C29" s="6">
        <v>50000</v>
      </c>
      <c r="D29" s="29">
        <v>0</v>
      </c>
      <c r="E29" s="31">
        <v>0</v>
      </c>
      <c r="G29" s="30" t="s">
        <v>74</v>
      </c>
      <c r="H29" s="31" t="s">
        <v>75</v>
      </c>
    </row>
    <row r="30" spans="2:8" x14ac:dyDescent="0.35">
      <c r="B30" s="30" t="s">
        <v>58</v>
      </c>
      <c r="C30" s="6">
        <v>180000</v>
      </c>
      <c r="D30" s="29">
        <v>0</v>
      </c>
      <c r="E30" s="31">
        <v>0</v>
      </c>
      <c r="G30" s="30" t="s">
        <v>76</v>
      </c>
      <c r="H30" s="31" t="s">
        <v>77</v>
      </c>
    </row>
    <row r="31" spans="2:8" ht="15" thickBot="1" x14ac:dyDescent="0.4">
      <c r="B31" s="30" t="s">
        <v>59</v>
      </c>
      <c r="C31" s="6">
        <v>120000</v>
      </c>
      <c r="D31" s="29">
        <v>25000</v>
      </c>
      <c r="E31" s="31">
        <v>25000</v>
      </c>
      <c r="G31" s="32" t="s">
        <v>78</v>
      </c>
      <c r="H31" s="37">
        <v>0.08</v>
      </c>
    </row>
    <row r="32" spans="2:8" x14ac:dyDescent="0.35">
      <c r="B32" s="30" t="s">
        <v>60</v>
      </c>
      <c r="C32" s="6">
        <v>450000</v>
      </c>
      <c r="D32" s="29">
        <v>50000</v>
      </c>
      <c r="E32" s="31">
        <v>50000</v>
      </c>
    </row>
    <row r="33" spans="2:5" x14ac:dyDescent="0.35">
      <c r="B33" s="30" t="s">
        <v>61</v>
      </c>
      <c r="C33" s="6">
        <v>280000</v>
      </c>
      <c r="D33" s="29">
        <v>15000</v>
      </c>
      <c r="E33" s="31">
        <v>15000</v>
      </c>
    </row>
    <row r="34" spans="2:5" x14ac:dyDescent="0.35">
      <c r="B34" s="30" t="s">
        <v>62</v>
      </c>
      <c r="C34" s="6">
        <v>1090000</v>
      </c>
      <c r="D34" s="29">
        <v>0</v>
      </c>
      <c r="E34" s="31">
        <v>0</v>
      </c>
    </row>
    <row r="35" spans="2:5" ht="15" thickBot="1" x14ac:dyDescent="0.4">
      <c r="B35" s="32" t="s">
        <v>63</v>
      </c>
      <c r="C35" s="33">
        <v>1800000</v>
      </c>
      <c r="D35" s="34">
        <v>0</v>
      </c>
      <c r="E35" s="35">
        <v>0</v>
      </c>
    </row>
  </sheetData>
  <mergeCells count="6">
    <mergeCell ref="G26:H26"/>
    <mergeCell ref="B3:C3"/>
    <mergeCell ref="B10:H10"/>
    <mergeCell ref="E2:F2"/>
    <mergeCell ref="B19:E19"/>
    <mergeCell ref="G19:H19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M17"/>
  <sheetViews>
    <sheetView workbookViewId="0">
      <selection activeCell="D20" sqref="D20"/>
    </sheetView>
  </sheetViews>
  <sheetFormatPr baseColWidth="10" defaultRowHeight="14.5" x14ac:dyDescent="0.35"/>
  <cols>
    <col min="1" max="1" width="2.7265625" customWidth="1"/>
    <col min="2" max="2" width="14.7265625" bestFit="1" customWidth="1"/>
    <col min="3" max="3" width="16.7265625" bestFit="1" customWidth="1"/>
    <col min="4" max="4" width="13.7265625" customWidth="1"/>
    <col min="5" max="5" width="12.54296875" bestFit="1" customWidth="1"/>
    <col min="6" max="6" width="18.1796875" customWidth="1"/>
    <col min="7" max="7" width="13.453125" customWidth="1"/>
    <col min="8" max="8" width="21.26953125" bestFit="1" customWidth="1"/>
    <col min="9" max="9" width="21" customWidth="1"/>
    <col min="10" max="10" width="2.54296875" customWidth="1"/>
    <col min="11" max="11" width="20" customWidth="1"/>
    <col min="12" max="12" width="1.26953125" customWidth="1"/>
    <col min="13" max="13" width="11.453125" style="146"/>
  </cols>
  <sheetData>
    <row r="1" spans="2:13" ht="15" thickBot="1" x14ac:dyDescent="0.4"/>
    <row r="2" spans="2:13" ht="15" thickBot="1" x14ac:dyDescent="0.4">
      <c r="B2" s="60" t="s">
        <v>186</v>
      </c>
      <c r="C2" s="61">
        <f>'DECISIÓN A PLAZO'!BV11</f>
        <v>529792</v>
      </c>
      <c r="E2" s="60" t="s">
        <v>72</v>
      </c>
      <c r="F2" s="60"/>
      <c r="G2" s="61">
        <f>'DATOS INICIALES'!H27</f>
        <v>300000</v>
      </c>
    </row>
    <row r="3" spans="2:13" ht="15" thickBot="1" x14ac:dyDescent="0.4"/>
    <row r="4" spans="2:13" ht="15" thickBot="1" x14ac:dyDescent="0.4">
      <c r="B4" s="188" t="s">
        <v>64</v>
      </c>
      <c r="C4" s="189"/>
      <c r="D4" s="189"/>
      <c r="E4" s="190"/>
    </row>
    <row r="5" spans="2:13" ht="30" customHeight="1" x14ac:dyDescent="0.35">
      <c r="B5" s="74" t="s">
        <v>45</v>
      </c>
      <c r="C5" s="143" t="s">
        <v>46</v>
      </c>
      <c r="D5" s="143" t="s">
        <v>47</v>
      </c>
      <c r="E5" s="144" t="s">
        <v>54</v>
      </c>
      <c r="F5" s="105" t="s">
        <v>86</v>
      </c>
      <c r="G5" s="105" t="s">
        <v>87</v>
      </c>
      <c r="H5" s="74" t="s">
        <v>88</v>
      </c>
      <c r="I5" s="75" t="s">
        <v>89</v>
      </c>
      <c r="K5" s="80" t="s">
        <v>102</v>
      </c>
      <c r="M5" s="80" t="s">
        <v>176</v>
      </c>
    </row>
    <row r="6" spans="2:13" x14ac:dyDescent="0.35">
      <c r="B6" s="30" t="s">
        <v>50</v>
      </c>
      <c r="C6" s="6">
        <v>2230000</v>
      </c>
      <c r="D6" s="29">
        <v>150000</v>
      </c>
      <c r="E6" s="62">
        <v>300000</v>
      </c>
      <c r="F6" s="64"/>
      <c r="G6" s="64"/>
      <c r="H6" s="78">
        <f>D6+E6</f>
        <v>450000</v>
      </c>
      <c r="I6" s="31">
        <f>C6</f>
        <v>2230000</v>
      </c>
      <c r="K6" s="81">
        <f>I6/D6</f>
        <v>14.866666666666667</v>
      </c>
      <c r="M6" s="147">
        <f t="shared" ref="M6:M17" si="0">D6/C6</f>
        <v>6.726457399103139E-2</v>
      </c>
    </row>
    <row r="7" spans="2:13" x14ac:dyDescent="0.35">
      <c r="B7" s="30" t="s">
        <v>51</v>
      </c>
      <c r="C7" s="6">
        <v>485000</v>
      </c>
      <c r="D7" s="29">
        <v>0</v>
      </c>
      <c r="E7" s="62">
        <v>0</v>
      </c>
      <c r="F7" s="64"/>
      <c r="G7" s="64"/>
      <c r="H7" s="78">
        <f t="shared" ref="H7:H8" si="1">D7+E7</f>
        <v>0</v>
      </c>
      <c r="I7" s="31">
        <v>485000</v>
      </c>
      <c r="K7" s="81">
        <v>0</v>
      </c>
      <c r="M7" s="147">
        <f t="shared" si="0"/>
        <v>0</v>
      </c>
    </row>
    <row r="8" spans="2:13" x14ac:dyDescent="0.35">
      <c r="B8" s="30" t="s">
        <v>174</v>
      </c>
      <c r="C8" s="6">
        <v>825000</v>
      </c>
      <c r="D8" s="29">
        <v>0</v>
      </c>
      <c r="E8" s="62">
        <v>0</v>
      </c>
      <c r="F8" s="64"/>
      <c r="G8" s="64"/>
      <c r="H8" s="78">
        <f t="shared" si="1"/>
        <v>0</v>
      </c>
      <c r="I8" s="31">
        <f t="shared" ref="I8:I17" si="2">C8</f>
        <v>825000</v>
      </c>
      <c r="K8" s="81">
        <v>0</v>
      </c>
      <c r="M8" s="147">
        <f t="shared" si="0"/>
        <v>0</v>
      </c>
    </row>
    <row r="9" spans="2:13" x14ac:dyDescent="0.35">
      <c r="B9" s="134" t="s">
        <v>175</v>
      </c>
      <c r="C9" s="135">
        <v>650000</v>
      </c>
      <c r="D9" s="136">
        <v>80000</v>
      </c>
      <c r="E9" s="137">
        <v>120000</v>
      </c>
      <c r="F9" s="138"/>
      <c r="G9" s="138"/>
      <c r="H9" s="139">
        <f>D9+E9</f>
        <v>200000</v>
      </c>
      <c r="I9" s="140">
        <f t="shared" si="2"/>
        <v>650000</v>
      </c>
      <c r="J9" s="141"/>
      <c r="K9" s="142">
        <f>I9/D9</f>
        <v>8.125</v>
      </c>
      <c r="L9" s="141"/>
      <c r="M9" s="149">
        <f t="shared" si="0"/>
        <v>0.12307692307692308</v>
      </c>
    </row>
    <row r="10" spans="2:13" x14ac:dyDescent="0.35">
      <c r="B10" s="30" t="s">
        <v>55</v>
      </c>
      <c r="C10" s="6">
        <v>85000</v>
      </c>
      <c r="D10" s="29">
        <v>15000</v>
      </c>
      <c r="E10" s="62">
        <v>0</v>
      </c>
      <c r="F10" s="64"/>
      <c r="G10" s="64"/>
      <c r="H10" s="78">
        <f>D10+E10</f>
        <v>15000</v>
      </c>
      <c r="I10" s="31">
        <f t="shared" si="2"/>
        <v>85000</v>
      </c>
      <c r="K10" s="81">
        <f>I10/D10</f>
        <v>5.666666666666667</v>
      </c>
      <c r="M10" s="147">
        <f t="shared" si="0"/>
        <v>0.17647058823529413</v>
      </c>
    </row>
    <row r="11" spans="2:13" x14ac:dyDescent="0.35">
      <c r="B11" s="30" t="s">
        <v>56</v>
      </c>
      <c r="C11" s="6">
        <v>220000</v>
      </c>
      <c r="D11" s="29">
        <v>0</v>
      </c>
      <c r="E11" s="62">
        <v>0</v>
      </c>
      <c r="F11" s="64"/>
      <c r="G11" s="64"/>
      <c r="H11" s="78">
        <f t="shared" ref="H11:H14" si="3">D11+E11</f>
        <v>0</v>
      </c>
      <c r="I11" s="31">
        <f t="shared" si="2"/>
        <v>220000</v>
      </c>
      <c r="K11" s="81">
        <v>0</v>
      </c>
      <c r="M11" s="147">
        <f t="shared" si="0"/>
        <v>0</v>
      </c>
    </row>
    <row r="12" spans="2:13" x14ac:dyDescent="0.35">
      <c r="B12" s="30" t="s">
        <v>58</v>
      </c>
      <c r="C12" s="6">
        <v>180000</v>
      </c>
      <c r="D12" s="29">
        <v>0</v>
      </c>
      <c r="E12" s="62">
        <v>0</v>
      </c>
      <c r="F12" s="64"/>
      <c r="G12" s="64"/>
      <c r="H12" s="78">
        <f t="shared" si="3"/>
        <v>0</v>
      </c>
      <c r="I12" s="31">
        <f t="shared" si="2"/>
        <v>180000</v>
      </c>
      <c r="K12" s="81">
        <v>0</v>
      </c>
      <c r="M12" s="147">
        <f t="shared" si="0"/>
        <v>0</v>
      </c>
    </row>
    <row r="13" spans="2:13" x14ac:dyDescent="0.35">
      <c r="B13" s="30" t="s">
        <v>59</v>
      </c>
      <c r="C13" s="6">
        <v>120000</v>
      </c>
      <c r="D13" s="29">
        <v>25000</v>
      </c>
      <c r="E13" s="62">
        <v>25000</v>
      </c>
      <c r="F13" s="64"/>
      <c r="G13" s="64"/>
      <c r="H13" s="78">
        <f t="shared" si="3"/>
        <v>50000</v>
      </c>
      <c r="I13" s="31">
        <f t="shared" si="2"/>
        <v>120000</v>
      </c>
      <c r="K13" s="81">
        <f>I13/D13</f>
        <v>4.8</v>
      </c>
      <c r="M13" s="147">
        <f t="shared" si="0"/>
        <v>0.20833333333333334</v>
      </c>
    </row>
    <row r="14" spans="2:13" x14ac:dyDescent="0.35">
      <c r="B14" s="30" t="s">
        <v>60</v>
      </c>
      <c r="C14" s="6">
        <v>450000</v>
      </c>
      <c r="D14" s="29">
        <v>50000</v>
      </c>
      <c r="E14" s="62">
        <v>50000</v>
      </c>
      <c r="F14" s="64"/>
      <c r="G14" s="64"/>
      <c r="H14" s="78">
        <f t="shared" si="3"/>
        <v>100000</v>
      </c>
      <c r="I14" s="31">
        <f t="shared" si="2"/>
        <v>450000</v>
      </c>
      <c r="K14" s="81">
        <f>I14/D14</f>
        <v>9</v>
      </c>
      <c r="M14" s="147">
        <f t="shared" si="0"/>
        <v>0.1111111111111111</v>
      </c>
    </row>
    <row r="15" spans="2:13" x14ac:dyDescent="0.35">
      <c r="B15" s="134" t="s">
        <v>173</v>
      </c>
      <c r="C15" s="135">
        <v>630000</v>
      </c>
      <c r="D15" s="136">
        <v>30000</v>
      </c>
      <c r="E15" s="137">
        <v>30000</v>
      </c>
      <c r="F15" s="138"/>
      <c r="G15" s="138"/>
      <c r="H15" s="139">
        <f t="shared" ref="H15:H17" si="4">D15+E15</f>
        <v>60000</v>
      </c>
      <c r="I15" s="140">
        <f t="shared" si="2"/>
        <v>630000</v>
      </c>
      <c r="J15" s="141"/>
      <c r="K15" s="142">
        <f>I15/D15</f>
        <v>21</v>
      </c>
      <c r="L15" s="141"/>
      <c r="M15" s="149">
        <f t="shared" si="0"/>
        <v>4.7619047619047616E-2</v>
      </c>
    </row>
    <row r="16" spans="2:13" x14ac:dyDescent="0.35">
      <c r="B16" s="30" t="s">
        <v>62</v>
      </c>
      <c r="C16" s="6">
        <v>1090000</v>
      </c>
      <c r="D16" s="29">
        <v>0</v>
      </c>
      <c r="E16" s="62">
        <v>0</v>
      </c>
      <c r="F16" s="64"/>
      <c r="G16" s="64"/>
      <c r="H16" s="78">
        <f t="shared" si="4"/>
        <v>0</v>
      </c>
      <c r="I16" s="31">
        <f t="shared" si="2"/>
        <v>1090000</v>
      </c>
      <c r="K16" s="81">
        <v>0</v>
      </c>
      <c r="M16" s="147">
        <f t="shared" si="0"/>
        <v>0</v>
      </c>
    </row>
    <row r="17" spans="2:13" ht="15" thickBot="1" x14ac:dyDescent="0.4">
      <c r="B17" s="32" t="s">
        <v>63</v>
      </c>
      <c r="C17" s="33">
        <v>1800000</v>
      </c>
      <c r="D17" s="34">
        <v>0</v>
      </c>
      <c r="E17" s="63">
        <v>0</v>
      </c>
      <c r="F17" s="66"/>
      <c r="G17" s="66"/>
      <c r="H17" s="145">
        <f t="shared" si="4"/>
        <v>0</v>
      </c>
      <c r="I17" s="35">
        <f t="shared" si="2"/>
        <v>1800000</v>
      </c>
      <c r="K17" s="82">
        <v>0</v>
      </c>
      <c r="M17" s="148">
        <f t="shared" si="0"/>
        <v>0</v>
      </c>
    </row>
  </sheetData>
  <mergeCells count="1">
    <mergeCell ref="B4:E4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1:O32"/>
  <sheetViews>
    <sheetView topLeftCell="A22" workbookViewId="0">
      <selection activeCell="G35" sqref="G35"/>
    </sheetView>
  </sheetViews>
  <sheetFormatPr baseColWidth="10" defaultRowHeight="14.5" x14ac:dyDescent="0.35"/>
  <cols>
    <col min="1" max="1" width="2.7265625" customWidth="1"/>
    <col min="2" max="2" width="14.81640625" customWidth="1"/>
    <col min="3" max="3" width="12.26953125" customWidth="1"/>
    <col min="4" max="8" width="12.54296875" bestFit="1" customWidth="1"/>
    <col min="9" max="9" width="12.54296875" customWidth="1"/>
    <col min="10" max="12" width="12.54296875" bestFit="1" customWidth="1"/>
    <col min="13" max="13" width="3.453125" customWidth="1"/>
  </cols>
  <sheetData>
    <row r="1" spans="2:15" ht="15" thickBot="1" x14ac:dyDescent="0.4"/>
    <row r="2" spans="2:15" ht="15" thickBot="1" x14ac:dyDescent="0.4">
      <c r="B2" s="168" t="s">
        <v>8</v>
      </c>
      <c r="C2" s="169"/>
      <c r="D2" s="169"/>
      <c r="E2" s="169"/>
      <c r="F2" s="170"/>
      <c r="G2" s="176" t="s">
        <v>85</v>
      </c>
      <c r="H2" s="177"/>
      <c r="I2" s="177"/>
      <c r="J2" s="177"/>
      <c r="K2" s="177"/>
      <c r="L2" s="178"/>
    </row>
    <row r="3" spans="2:15" ht="29" x14ac:dyDescent="0.35">
      <c r="B3" s="40" t="s">
        <v>1</v>
      </c>
      <c r="C3" s="41" t="s">
        <v>43</v>
      </c>
      <c r="D3" s="41" t="s">
        <v>103</v>
      </c>
      <c r="E3" s="41" t="s">
        <v>35</v>
      </c>
      <c r="F3" s="43" t="s">
        <v>41</v>
      </c>
      <c r="G3" s="56" t="s">
        <v>79</v>
      </c>
      <c r="H3" s="57" t="s">
        <v>80</v>
      </c>
      <c r="I3" s="57" t="s">
        <v>81</v>
      </c>
      <c r="J3" s="57" t="s">
        <v>82</v>
      </c>
      <c r="K3" s="58" t="s">
        <v>83</v>
      </c>
      <c r="L3" s="58" t="s">
        <v>84</v>
      </c>
      <c r="M3" s="42"/>
      <c r="N3" s="97" t="s">
        <v>113</v>
      </c>
      <c r="O3" s="97" t="s">
        <v>134</v>
      </c>
    </row>
    <row r="4" spans="2:15" ht="15.5" x14ac:dyDescent="0.35">
      <c r="B4" s="14" t="s">
        <v>9</v>
      </c>
      <c r="C4" s="5">
        <v>9200</v>
      </c>
      <c r="D4" s="100" t="s">
        <v>105</v>
      </c>
      <c r="E4" s="100" t="s">
        <v>38</v>
      </c>
      <c r="F4" s="44">
        <v>815</v>
      </c>
      <c r="G4" s="48">
        <v>19719</v>
      </c>
      <c r="H4" s="46">
        <v>27</v>
      </c>
      <c r="I4" s="47">
        <f t="shared" ref="I4:I6" si="0">G4/H4</f>
        <v>730.33333333333337</v>
      </c>
      <c r="J4" s="47">
        <f t="shared" ref="J4:J6" si="1">F4-I4</f>
        <v>84.666666666666629</v>
      </c>
      <c r="K4" s="49">
        <f>J4*H4</f>
        <v>2285.9999999999991</v>
      </c>
      <c r="L4" s="52">
        <f t="shared" ref="L4:L6" si="2">K4/G4</f>
        <v>0.11592879963486988</v>
      </c>
      <c r="N4" s="108">
        <f>'PROYECCIÓN DE VENTAS '!AI6</f>
        <v>8</v>
      </c>
      <c r="O4" s="108">
        <f>N4/2</f>
        <v>4</v>
      </c>
    </row>
    <row r="5" spans="2:15" ht="15.5" x14ac:dyDescent="0.35">
      <c r="B5" s="14" t="s">
        <v>13</v>
      </c>
      <c r="C5" s="5">
        <v>2500</v>
      </c>
      <c r="D5" s="100" t="s">
        <v>105</v>
      </c>
      <c r="E5" s="100" t="s">
        <v>36</v>
      </c>
      <c r="F5" s="44">
        <v>180</v>
      </c>
      <c r="G5" s="48">
        <v>1270</v>
      </c>
      <c r="H5" s="46">
        <v>27</v>
      </c>
      <c r="I5" s="47">
        <f t="shared" si="0"/>
        <v>47.037037037037038</v>
      </c>
      <c r="J5" s="47">
        <f t="shared" si="1"/>
        <v>132.96296296296296</v>
      </c>
      <c r="K5" s="49">
        <f>J5*H5</f>
        <v>3590</v>
      </c>
      <c r="L5" s="52">
        <f t="shared" si="2"/>
        <v>2.826771653543307</v>
      </c>
      <c r="N5" s="108">
        <f>'PROYECCIÓN DE VENTAS '!AI8</f>
        <v>26</v>
      </c>
      <c r="O5" s="108">
        <v>13</v>
      </c>
    </row>
    <row r="6" spans="2:15" ht="16" thickBot="1" x14ac:dyDescent="0.4">
      <c r="B6" s="16" t="s">
        <v>14</v>
      </c>
      <c r="C6" s="18">
        <v>4200</v>
      </c>
      <c r="D6" s="101" t="s">
        <v>105</v>
      </c>
      <c r="E6" s="101" t="s">
        <v>40</v>
      </c>
      <c r="F6" s="45">
        <v>680</v>
      </c>
      <c r="G6" s="50">
        <v>10622</v>
      </c>
      <c r="H6" s="51">
        <v>27</v>
      </c>
      <c r="I6" s="54">
        <f t="shared" si="0"/>
        <v>393.40740740740739</v>
      </c>
      <c r="J6" s="54">
        <f t="shared" si="1"/>
        <v>286.59259259259261</v>
      </c>
      <c r="K6" s="55">
        <f>H6*J6</f>
        <v>7738</v>
      </c>
      <c r="L6" s="53">
        <f t="shared" si="2"/>
        <v>0.72848804368292219</v>
      </c>
      <c r="N6" s="109">
        <f>'PROYECCIÓN DE VENTAS '!AI9</f>
        <v>9</v>
      </c>
      <c r="O6" s="109">
        <v>4.5</v>
      </c>
    </row>
    <row r="7" spans="2:15" ht="15" thickBot="1" x14ac:dyDescent="0.4"/>
    <row r="8" spans="2:15" ht="15" thickBot="1" x14ac:dyDescent="0.4">
      <c r="B8" s="163" t="s">
        <v>182</v>
      </c>
      <c r="C8" s="164">
        <v>400000</v>
      </c>
    </row>
    <row r="9" spans="2:15" x14ac:dyDescent="0.35">
      <c r="B9" s="162" t="s">
        <v>9</v>
      </c>
      <c r="C9" s="197" t="s">
        <v>119</v>
      </c>
      <c r="D9" s="184"/>
      <c r="E9" s="184"/>
      <c r="F9" s="184"/>
      <c r="G9" s="184"/>
      <c r="H9" s="184"/>
      <c r="I9" s="184"/>
      <c r="J9" s="184"/>
      <c r="K9" s="184"/>
      <c r="L9" s="185"/>
    </row>
    <row r="10" spans="2:15" x14ac:dyDescent="0.35">
      <c r="B10" s="115" t="s">
        <v>120</v>
      </c>
      <c r="C10" s="112">
        <v>1</v>
      </c>
      <c r="D10" s="112">
        <v>2</v>
      </c>
      <c r="E10" s="112">
        <v>3</v>
      </c>
      <c r="F10" s="112">
        <v>4</v>
      </c>
      <c r="G10" s="112">
        <v>5</v>
      </c>
      <c r="H10" s="112">
        <v>6</v>
      </c>
      <c r="I10" s="112">
        <v>7</v>
      </c>
      <c r="J10" s="112">
        <v>8</v>
      </c>
      <c r="K10" s="112">
        <v>9</v>
      </c>
      <c r="L10" s="116">
        <v>10</v>
      </c>
    </row>
    <row r="11" spans="2:15" ht="30" customHeight="1" x14ac:dyDescent="0.35">
      <c r="B11" s="117" t="s">
        <v>121</v>
      </c>
      <c r="C11" s="110">
        <f>'PROYECCIÓN DE VENTAS '!AL6</f>
        <v>78876</v>
      </c>
      <c r="D11" s="110">
        <f>C11</f>
        <v>78876</v>
      </c>
      <c r="E11" s="110">
        <f t="shared" ref="E11:L11" si="3">D11</f>
        <v>78876</v>
      </c>
      <c r="F11" s="110">
        <f t="shared" si="3"/>
        <v>78876</v>
      </c>
      <c r="G11" s="110">
        <f t="shared" si="3"/>
        <v>78876</v>
      </c>
      <c r="H11" s="110">
        <f t="shared" si="3"/>
        <v>78876</v>
      </c>
      <c r="I11" s="110">
        <f t="shared" si="3"/>
        <v>78876</v>
      </c>
      <c r="J11" s="110">
        <f t="shared" si="3"/>
        <v>78876</v>
      </c>
      <c r="K11" s="110">
        <f t="shared" si="3"/>
        <v>78876</v>
      </c>
      <c r="L11" s="118">
        <f t="shared" si="3"/>
        <v>78876</v>
      </c>
    </row>
    <row r="12" spans="2:15" ht="28.5" customHeight="1" x14ac:dyDescent="0.35">
      <c r="B12" s="117" t="s">
        <v>122</v>
      </c>
      <c r="C12" s="113">
        <f>'SEGUNDA UNIDAD'!H9+'SEGUNDA UNIDAD'!H15</f>
        <v>260000</v>
      </c>
      <c r="D12" s="113">
        <v>0</v>
      </c>
      <c r="E12" s="113">
        <f>'SEGUNDA UNIDAD'!D9+'SEGUNDA UNIDAD'!D15+'DATOS INICIALES'!H24+'DATOS INICIALES'!H23+'DATOS INICIALES'!H22+'DATOS INICIALES'!H21+'DATOS INICIALES'!H20+'DATOS INICIALES'!H24</f>
        <v>213650</v>
      </c>
      <c r="F12" s="113">
        <v>0</v>
      </c>
      <c r="G12" s="113">
        <f>E12</f>
        <v>213650</v>
      </c>
      <c r="H12" s="113">
        <v>0</v>
      </c>
      <c r="I12" s="113">
        <f>G12</f>
        <v>213650</v>
      </c>
      <c r="J12" s="113">
        <v>0</v>
      </c>
      <c r="K12" s="113">
        <f>I12</f>
        <v>213650</v>
      </c>
      <c r="L12" s="119">
        <v>0</v>
      </c>
    </row>
    <row r="13" spans="2:15" ht="29" x14ac:dyDescent="0.35">
      <c r="B13" s="121" t="s">
        <v>132</v>
      </c>
      <c r="C13" s="111">
        <v>0</v>
      </c>
      <c r="D13" s="113">
        <f>((F4*H4)*O4)</f>
        <v>88020</v>
      </c>
      <c r="E13" s="113">
        <v>0</v>
      </c>
      <c r="F13" s="113">
        <f>(F4*H4)*8</f>
        <v>176040</v>
      </c>
      <c r="G13" s="113">
        <v>0</v>
      </c>
      <c r="H13" s="113">
        <f>F13</f>
        <v>176040</v>
      </c>
      <c r="I13" s="113">
        <v>0</v>
      </c>
      <c r="J13" s="113">
        <f>H13</f>
        <v>176040</v>
      </c>
      <c r="K13" s="113">
        <v>0</v>
      </c>
      <c r="L13" s="119">
        <f>J13</f>
        <v>176040</v>
      </c>
    </row>
    <row r="14" spans="2:15" ht="29.5" thickBot="1" x14ac:dyDescent="0.4">
      <c r="B14" s="122" t="s">
        <v>133</v>
      </c>
      <c r="C14" s="54">
        <f>C8+C13-C12-C11</f>
        <v>61124</v>
      </c>
      <c r="D14" s="54">
        <f>C14+D13-D12-D11</f>
        <v>70268</v>
      </c>
      <c r="E14" s="54">
        <f>D14-E11-E12+E13</f>
        <v>-222258</v>
      </c>
      <c r="F14" s="54">
        <f t="shared" ref="F14:L14" si="4">E14-F11-F12+F13</f>
        <v>-125094</v>
      </c>
      <c r="G14" s="54">
        <f t="shared" si="4"/>
        <v>-417620</v>
      </c>
      <c r="H14" s="54">
        <f t="shared" si="4"/>
        <v>-320456</v>
      </c>
      <c r="I14" s="54">
        <f t="shared" si="4"/>
        <v>-612982</v>
      </c>
      <c r="J14" s="54">
        <f t="shared" si="4"/>
        <v>-515818</v>
      </c>
      <c r="K14" s="54">
        <f t="shared" si="4"/>
        <v>-808344</v>
      </c>
      <c r="L14" s="54">
        <f t="shared" si="4"/>
        <v>-711180</v>
      </c>
    </row>
    <row r="15" spans="2:15" ht="15" thickBot="1" x14ac:dyDescent="0.4"/>
    <row r="16" spans="2:15" x14ac:dyDescent="0.35">
      <c r="B16" s="114" t="s">
        <v>13</v>
      </c>
      <c r="C16" s="184" t="s">
        <v>119</v>
      </c>
      <c r="D16" s="184"/>
      <c r="E16" s="184"/>
      <c r="F16" s="184"/>
      <c r="G16" s="184"/>
      <c r="H16" s="184"/>
      <c r="I16" s="184"/>
      <c r="J16" s="184"/>
      <c r="K16" s="184"/>
      <c r="L16" s="185"/>
    </row>
    <row r="17" spans="2:14" x14ac:dyDescent="0.35">
      <c r="B17" s="115" t="s">
        <v>120</v>
      </c>
      <c r="C17" s="112">
        <v>1</v>
      </c>
      <c r="D17" s="112">
        <v>2</v>
      </c>
      <c r="E17" s="112">
        <v>3</v>
      </c>
      <c r="F17" s="112">
        <v>4</v>
      </c>
      <c r="G17" s="112">
        <v>5</v>
      </c>
      <c r="H17" s="112">
        <v>6</v>
      </c>
      <c r="I17" s="112">
        <v>7</v>
      </c>
      <c r="J17" s="112">
        <v>8</v>
      </c>
      <c r="K17" s="112">
        <v>9</v>
      </c>
      <c r="L17" s="116">
        <v>10</v>
      </c>
    </row>
    <row r="18" spans="2:14" ht="29" x14ac:dyDescent="0.35">
      <c r="B18" s="117" t="s">
        <v>121</v>
      </c>
      <c r="C18" s="110">
        <f>'PROYECCIÓN DE VENTAS '!AL8</f>
        <v>13970</v>
      </c>
      <c r="D18" s="110">
        <f>C18</f>
        <v>13970</v>
      </c>
      <c r="E18" s="110">
        <f t="shared" ref="E18:L18" si="5">D18</f>
        <v>13970</v>
      </c>
      <c r="F18" s="110">
        <f t="shared" si="5"/>
        <v>13970</v>
      </c>
      <c r="G18" s="110">
        <f t="shared" si="5"/>
        <v>13970</v>
      </c>
      <c r="H18" s="110">
        <f t="shared" si="5"/>
        <v>13970</v>
      </c>
      <c r="I18" s="110">
        <f t="shared" si="5"/>
        <v>13970</v>
      </c>
      <c r="J18" s="110">
        <f t="shared" si="5"/>
        <v>13970</v>
      </c>
      <c r="K18" s="110">
        <f t="shared" si="5"/>
        <v>13970</v>
      </c>
      <c r="L18" s="118">
        <f t="shared" si="5"/>
        <v>13970</v>
      </c>
      <c r="N18" s="67"/>
    </row>
    <row r="19" spans="2:14" ht="29" x14ac:dyDescent="0.35">
      <c r="B19" s="117" t="s">
        <v>122</v>
      </c>
      <c r="C19" s="113">
        <f>C12</f>
        <v>260000</v>
      </c>
      <c r="D19" s="113">
        <v>0</v>
      </c>
      <c r="E19" s="113">
        <f>E12</f>
        <v>213650</v>
      </c>
      <c r="F19" s="113">
        <v>0</v>
      </c>
      <c r="G19" s="113">
        <f>E19</f>
        <v>213650</v>
      </c>
      <c r="H19" s="113">
        <v>0</v>
      </c>
      <c r="I19" s="113">
        <f>G19</f>
        <v>213650</v>
      </c>
      <c r="J19" s="113">
        <v>0</v>
      </c>
      <c r="K19" s="113">
        <f>I19</f>
        <v>213650</v>
      </c>
      <c r="L19" s="119">
        <v>0</v>
      </c>
    </row>
    <row r="20" spans="2:14" ht="29" x14ac:dyDescent="0.35">
      <c r="B20" s="121" t="s">
        <v>132</v>
      </c>
      <c r="C20" s="111">
        <v>0</v>
      </c>
      <c r="D20" s="113">
        <f>(F5*H5)*O5</f>
        <v>63180</v>
      </c>
      <c r="E20" s="113">
        <v>0</v>
      </c>
      <c r="F20" s="113">
        <f>(F5*H5)*N5</f>
        <v>126360</v>
      </c>
      <c r="G20" s="113">
        <v>0</v>
      </c>
      <c r="H20" s="113">
        <f>F20</f>
        <v>126360</v>
      </c>
      <c r="I20" s="113">
        <v>0</v>
      </c>
      <c r="J20" s="113">
        <f>H20</f>
        <v>126360</v>
      </c>
      <c r="K20" s="113">
        <v>0</v>
      </c>
      <c r="L20" s="119">
        <f>J20</f>
        <v>126360</v>
      </c>
      <c r="N20" t="s">
        <v>135</v>
      </c>
    </row>
    <row r="21" spans="2:14" ht="29.5" thickBot="1" x14ac:dyDescent="0.4">
      <c r="B21" s="122" t="s">
        <v>133</v>
      </c>
      <c r="C21" s="54">
        <f>C8-C19-C18</f>
        <v>126030</v>
      </c>
      <c r="D21" s="54">
        <f>C21+D20-D19-D18</f>
        <v>175240</v>
      </c>
      <c r="E21" s="54">
        <f>D21+E20-E19-E18</f>
        <v>-52380</v>
      </c>
      <c r="F21" s="54">
        <f t="shared" ref="F21:L21" si="6">E21+F20-F19-F18</f>
        <v>60010</v>
      </c>
      <c r="G21" s="54">
        <f t="shared" si="6"/>
        <v>-167610</v>
      </c>
      <c r="H21" s="54">
        <f t="shared" si="6"/>
        <v>-55220</v>
      </c>
      <c r="I21" s="54">
        <f t="shared" si="6"/>
        <v>-282840</v>
      </c>
      <c r="J21" s="54">
        <f t="shared" si="6"/>
        <v>-170450</v>
      </c>
      <c r="K21" s="54">
        <f t="shared" si="6"/>
        <v>-398070</v>
      </c>
      <c r="L21" s="55">
        <f t="shared" si="6"/>
        <v>-285680</v>
      </c>
    </row>
    <row r="22" spans="2:14" ht="15" thickBot="1" x14ac:dyDescent="0.4"/>
    <row r="23" spans="2:14" x14ac:dyDescent="0.35">
      <c r="B23" s="114" t="s">
        <v>14</v>
      </c>
      <c r="C23" s="184" t="s">
        <v>119</v>
      </c>
      <c r="D23" s="184"/>
      <c r="E23" s="184"/>
      <c r="F23" s="184"/>
      <c r="G23" s="184"/>
      <c r="H23" s="184"/>
      <c r="I23" s="184"/>
      <c r="J23" s="184"/>
      <c r="K23" s="184"/>
      <c r="L23" s="185"/>
    </row>
    <row r="24" spans="2:14" x14ac:dyDescent="0.35">
      <c r="B24" s="115" t="s">
        <v>120</v>
      </c>
      <c r="C24" s="112">
        <v>1</v>
      </c>
      <c r="D24" s="112">
        <v>2</v>
      </c>
      <c r="E24" s="112">
        <v>3</v>
      </c>
      <c r="F24" s="112">
        <v>4</v>
      </c>
      <c r="G24" s="112">
        <v>5</v>
      </c>
      <c r="H24" s="112">
        <v>6</v>
      </c>
      <c r="I24" s="112">
        <v>7</v>
      </c>
      <c r="J24" s="112">
        <v>8</v>
      </c>
      <c r="K24" s="112">
        <v>9</v>
      </c>
      <c r="L24" s="116">
        <v>10</v>
      </c>
    </row>
    <row r="25" spans="2:14" ht="29" x14ac:dyDescent="0.35">
      <c r="B25" s="117" t="s">
        <v>121</v>
      </c>
      <c r="C25" s="110">
        <f>'PROYECCIÓN DE VENTAS '!AL9</f>
        <v>53110</v>
      </c>
      <c r="D25" s="110">
        <f>C25</f>
        <v>53110</v>
      </c>
      <c r="E25" s="110">
        <f t="shared" ref="E25:L25" si="7">D25</f>
        <v>53110</v>
      </c>
      <c r="F25" s="110">
        <f t="shared" si="7"/>
        <v>53110</v>
      </c>
      <c r="G25" s="110">
        <f t="shared" si="7"/>
        <v>53110</v>
      </c>
      <c r="H25" s="110">
        <f t="shared" si="7"/>
        <v>53110</v>
      </c>
      <c r="I25" s="110">
        <f t="shared" si="7"/>
        <v>53110</v>
      </c>
      <c r="J25" s="110">
        <f t="shared" si="7"/>
        <v>53110</v>
      </c>
      <c r="K25" s="110">
        <f t="shared" si="7"/>
        <v>53110</v>
      </c>
      <c r="L25" s="118">
        <f t="shared" si="7"/>
        <v>53110</v>
      </c>
    </row>
    <row r="26" spans="2:14" ht="29" x14ac:dyDescent="0.35">
      <c r="B26" s="117" t="s">
        <v>122</v>
      </c>
      <c r="C26" s="113">
        <f>C19</f>
        <v>260000</v>
      </c>
      <c r="D26" s="113">
        <v>0</v>
      </c>
      <c r="E26" s="113">
        <f>E19</f>
        <v>213650</v>
      </c>
      <c r="F26" s="113">
        <v>0</v>
      </c>
      <c r="G26" s="113">
        <f>E26</f>
        <v>213650</v>
      </c>
      <c r="H26" s="113">
        <v>0</v>
      </c>
      <c r="I26" s="113">
        <f>G26</f>
        <v>213650</v>
      </c>
      <c r="J26" s="113">
        <v>0</v>
      </c>
      <c r="K26" s="113">
        <f>I26</f>
        <v>213650</v>
      </c>
      <c r="L26" s="119">
        <v>0</v>
      </c>
    </row>
    <row r="27" spans="2:14" ht="29" x14ac:dyDescent="0.35">
      <c r="B27" s="121" t="s">
        <v>132</v>
      </c>
      <c r="C27" s="111">
        <v>0</v>
      </c>
      <c r="D27" s="113">
        <f>(F6*H6)*O6</f>
        <v>82620</v>
      </c>
      <c r="E27" s="113">
        <v>0</v>
      </c>
      <c r="F27" s="113">
        <f>(F6*H6)*N6</f>
        <v>165240</v>
      </c>
      <c r="G27" s="113">
        <v>0</v>
      </c>
      <c r="H27" s="113">
        <f>F27</f>
        <v>165240</v>
      </c>
      <c r="I27" s="113">
        <v>0</v>
      </c>
      <c r="J27" s="113">
        <f>H27</f>
        <v>165240</v>
      </c>
      <c r="K27" s="113">
        <v>0</v>
      </c>
      <c r="L27" s="119">
        <f>J27</f>
        <v>165240</v>
      </c>
    </row>
    <row r="28" spans="2:14" ht="29.5" thickBot="1" x14ac:dyDescent="0.4">
      <c r="B28" s="122" t="s">
        <v>133</v>
      </c>
      <c r="C28" s="54">
        <f>C8-C26-C25</f>
        <v>86890</v>
      </c>
      <c r="D28" s="54">
        <f>C28+D27-D26-D25</f>
        <v>116400</v>
      </c>
      <c r="E28" s="54">
        <f t="shared" ref="E28:L28" si="8">D28+E27-E26-E25</f>
        <v>-150360</v>
      </c>
      <c r="F28" s="54">
        <f t="shared" si="8"/>
        <v>-38230</v>
      </c>
      <c r="G28" s="54">
        <f t="shared" si="8"/>
        <v>-304990</v>
      </c>
      <c r="H28" s="54">
        <f t="shared" si="8"/>
        <v>-192860</v>
      </c>
      <c r="I28" s="54">
        <f t="shared" si="8"/>
        <v>-459620</v>
      </c>
      <c r="J28" s="54">
        <f t="shared" si="8"/>
        <v>-347490</v>
      </c>
      <c r="K28" s="54">
        <f t="shared" si="8"/>
        <v>-614250</v>
      </c>
      <c r="L28" s="55">
        <f t="shared" si="8"/>
        <v>-502120</v>
      </c>
    </row>
    <row r="29" spans="2:14" ht="15" thickBot="1" x14ac:dyDescent="0.4"/>
    <row r="30" spans="2:14" x14ac:dyDescent="0.35">
      <c r="C30" s="191" t="s">
        <v>183</v>
      </c>
      <c r="D30" s="192"/>
      <c r="E30" s="192"/>
      <c r="F30" s="165">
        <f>F27+D27</f>
        <v>247860</v>
      </c>
    </row>
    <row r="31" spans="2:14" x14ac:dyDescent="0.35">
      <c r="C31" s="193" t="s">
        <v>184</v>
      </c>
      <c r="D31" s="194"/>
      <c r="E31" s="194"/>
      <c r="F31" s="49">
        <f>F25+E25+D25+C25</f>
        <v>212440</v>
      </c>
    </row>
    <row r="32" spans="2:14" ht="15" thickBot="1" x14ac:dyDescent="0.4">
      <c r="C32" s="195" t="s">
        <v>185</v>
      </c>
      <c r="D32" s="196"/>
      <c r="E32" s="196"/>
      <c r="F32" s="55">
        <f>F30-F31</f>
        <v>35420</v>
      </c>
    </row>
  </sheetData>
  <mergeCells count="8">
    <mergeCell ref="C30:E30"/>
    <mergeCell ref="C31:E31"/>
    <mergeCell ref="C32:E32"/>
    <mergeCell ref="B2:F2"/>
    <mergeCell ref="G2:L2"/>
    <mergeCell ref="C9:L9"/>
    <mergeCell ref="C16:L16"/>
    <mergeCell ref="C23:L23"/>
  </mergeCells>
  <conditionalFormatting sqref="C14:L14">
    <cfRule type="cellIs" dxfId="2" priority="3" operator="lessThan">
      <formula>0</formula>
    </cfRule>
  </conditionalFormatting>
  <conditionalFormatting sqref="C28:L28">
    <cfRule type="cellIs" dxfId="1" priority="2" operator="lessThan">
      <formula>0</formula>
    </cfRule>
  </conditionalFormatting>
  <conditionalFormatting sqref="C21:L21">
    <cfRule type="cellIs" dxfId="0" priority="1" operator="less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R14"/>
  <sheetViews>
    <sheetView workbookViewId="0">
      <selection activeCell="I3" sqref="I3"/>
    </sheetView>
  </sheetViews>
  <sheetFormatPr baseColWidth="10" defaultRowHeight="14.5" x14ac:dyDescent="0.35"/>
  <cols>
    <col min="1" max="1" width="2.81640625" customWidth="1"/>
    <col min="2" max="2" width="11.1796875" bestFit="1" customWidth="1"/>
    <col min="3" max="3" width="29.54296875" bestFit="1" customWidth="1"/>
    <col min="4" max="4" width="17.26953125" bestFit="1" customWidth="1"/>
    <col min="5" max="5" width="20" bestFit="1" customWidth="1"/>
    <col min="6" max="6" width="21.26953125" bestFit="1" customWidth="1"/>
    <col min="7" max="7" width="21.26953125" customWidth="1"/>
    <col min="8" max="8" width="19.453125" bestFit="1" customWidth="1"/>
    <col min="9" max="9" width="17.26953125" bestFit="1" customWidth="1"/>
    <col min="10" max="10" width="12.26953125" style="4" customWidth="1"/>
    <col min="11" max="11" width="9.26953125" customWidth="1"/>
    <col min="12" max="12" width="9.1796875" customWidth="1"/>
    <col min="13" max="15" width="10.453125" customWidth="1"/>
    <col min="16" max="16" width="3.7265625" customWidth="1"/>
    <col min="18" max="18" width="17.1796875" customWidth="1"/>
  </cols>
  <sheetData>
    <row r="1" spans="2:18" ht="15" thickBot="1" x14ac:dyDescent="0.4"/>
    <row r="2" spans="2:18" ht="15" thickBot="1" x14ac:dyDescent="0.4">
      <c r="B2" s="168" t="s">
        <v>8</v>
      </c>
      <c r="C2" s="169"/>
      <c r="D2" s="169"/>
      <c r="E2" s="169"/>
      <c r="F2" s="169"/>
      <c r="G2" s="169"/>
      <c r="H2" s="169"/>
      <c r="I2" s="170"/>
      <c r="J2" s="176" t="s">
        <v>85</v>
      </c>
      <c r="K2" s="177"/>
      <c r="L2" s="177"/>
      <c r="M2" s="177"/>
      <c r="N2" s="177"/>
      <c r="O2" s="178"/>
      <c r="Q2" s="179" t="s">
        <v>101</v>
      </c>
      <c r="R2" s="180"/>
    </row>
    <row r="3" spans="2:18" s="42" customFormat="1" ht="30.75" customHeight="1" x14ac:dyDescent="0.35">
      <c r="B3" s="40" t="s">
        <v>1</v>
      </c>
      <c r="C3" s="41" t="s">
        <v>15</v>
      </c>
      <c r="D3" s="41" t="s">
        <v>43</v>
      </c>
      <c r="E3" s="41" t="s">
        <v>22</v>
      </c>
      <c r="F3" s="41" t="s">
        <v>23</v>
      </c>
      <c r="G3" s="41" t="s">
        <v>103</v>
      </c>
      <c r="H3" s="41" t="s">
        <v>35</v>
      </c>
      <c r="I3" s="43" t="s">
        <v>41</v>
      </c>
      <c r="J3" s="56" t="s">
        <v>79</v>
      </c>
      <c r="K3" s="57" t="s">
        <v>80</v>
      </c>
      <c r="L3" s="57" t="s">
        <v>81</v>
      </c>
      <c r="M3" s="57" t="s">
        <v>82</v>
      </c>
      <c r="N3" s="58" t="s">
        <v>83</v>
      </c>
      <c r="O3" s="58" t="s">
        <v>84</v>
      </c>
      <c r="Q3" s="85" t="s">
        <v>92</v>
      </c>
      <c r="R3" s="85" t="s">
        <v>95</v>
      </c>
    </row>
    <row r="4" spans="2:18" ht="15.5" x14ac:dyDescent="0.35">
      <c r="B4" s="14" t="s">
        <v>10</v>
      </c>
      <c r="C4" s="2" t="s">
        <v>16</v>
      </c>
      <c r="D4" s="5">
        <v>2000</v>
      </c>
      <c r="E4" s="2" t="s">
        <v>24</v>
      </c>
      <c r="F4" s="2" t="s">
        <v>25</v>
      </c>
      <c r="G4" s="2" t="s">
        <v>104</v>
      </c>
      <c r="H4" s="2" t="s">
        <v>36</v>
      </c>
      <c r="I4" s="44">
        <v>870</v>
      </c>
      <c r="J4" s="48">
        <v>18372</v>
      </c>
      <c r="K4" s="46">
        <v>25</v>
      </c>
      <c r="L4" s="47">
        <f t="shared" ref="L4:L9" si="0">J4/K4</f>
        <v>734.88</v>
      </c>
      <c r="M4" s="47">
        <f t="shared" ref="M4:M9" si="1">I4-L4</f>
        <v>135.12</v>
      </c>
      <c r="N4" s="49">
        <f>M4*K4</f>
        <v>3378</v>
      </c>
      <c r="O4" s="52">
        <f t="shared" ref="O4:O9" si="2">N4/J4</f>
        <v>0.18386675375571521</v>
      </c>
      <c r="Q4" s="83">
        <v>2</v>
      </c>
      <c r="R4" s="83" t="s">
        <v>98</v>
      </c>
    </row>
    <row r="5" spans="2:18" ht="15.5" x14ac:dyDescent="0.35">
      <c r="B5" s="14" t="s">
        <v>11</v>
      </c>
      <c r="C5" s="2" t="s">
        <v>17</v>
      </c>
      <c r="D5" s="5">
        <v>650</v>
      </c>
      <c r="E5" s="2" t="s">
        <v>26</v>
      </c>
      <c r="F5" s="2" t="s">
        <v>27</v>
      </c>
      <c r="G5" s="2" t="s">
        <v>104</v>
      </c>
      <c r="H5" s="2" t="s">
        <v>37</v>
      </c>
      <c r="I5" s="44">
        <v>540</v>
      </c>
      <c r="J5" s="48">
        <v>11935</v>
      </c>
      <c r="K5" s="46">
        <v>25</v>
      </c>
      <c r="L5" s="47">
        <f t="shared" si="0"/>
        <v>477.4</v>
      </c>
      <c r="M5" s="47">
        <f t="shared" si="1"/>
        <v>62.600000000000023</v>
      </c>
      <c r="N5" s="49">
        <f>M5*K5</f>
        <v>1565.0000000000005</v>
      </c>
      <c r="O5" s="52">
        <f t="shared" si="2"/>
        <v>0.13112693757855051</v>
      </c>
      <c r="Q5" s="83">
        <v>1</v>
      </c>
      <c r="R5" s="83" t="s">
        <v>99</v>
      </c>
    </row>
    <row r="6" spans="2:18" ht="15.5" x14ac:dyDescent="0.35">
      <c r="B6" s="14" t="s">
        <v>9</v>
      </c>
      <c r="C6" s="2" t="s">
        <v>18</v>
      </c>
      <c r="D6" s="5">
        <v>9200</v>
      </c>
      <c r="E6" s="2" t="s">
        <v>28</v>
      </c>
      <c r="F6" s="2" t="s">
        <v>29</v>
      </c>
      <c r="G6" s="2" t="s">
        <v>105</v>
      </c>
      <c r="H6" s="2" t="s">
        <v>38</v>
      </c>
      <c r="I6" s="44">
        <v>815</v>
      </c>
      <c r="J6" s="48">
        <v>19719</v>
      </c>
      <c r="K6" s="46">
        <v>27</v>
      </c>
      <c r="L6" s="47">
        <f t="shared" si="0"/>
        <v>730.33333333333337</v>
      </c>
      <c r="M6" s="47">
        <f t="shared" si="1"/>
        <v>84.666666666666629</v>
      </c>
      <c r="N6" s="49">
        <f>M6*K6</f>
        <v>2285.9999999999991</v>
      </c>
      <c r="O6" s="52">
        <f t="shared" si="2"/>
        <v>0.11592879963486988</v>
      </c>
      <c r="Q6" s="83">
        <v>3</v>
      </c>
      <c r="R6" s="83" t="s">
        <v>100</v>
      </c>
    </row>
    <row r="7" spans="2:18" ht="15.5" x14ac:dyDescent="0.35">
      <c r="B7" s="14" t="s">
        <v>12</v>
      </c>
      <c r="C7" s="2" t="s">
        <v>21</v>
      </c>
      <c r="D7" s="5">
        <v>1800</v>
      </c>
      <c r="E7" s="2" t="s">
        <v>31</v>
      </c>
      <c r="F7" s="2" t="s">
        <v>30</v>
      </c>
      <c r="G7" s="2" t="s">
        <v>106</v>
      </c>
      <c r="H7" s="2" t="s">
        <v>39</v>
      </c>
      <c r="I7" s="44">
        <v>450</v>
      </c>
      <c r="J7" s="48">
        <v>12876</v>
      </c>
      <c r="K7" s="46">
        <v>35</v>
      </c>
      <c r="L7" s="47">
        <f t="shared" si="0"/>
        <v>367.8857142857143</v>
      </c>
      <c r="M7" s="47">
        <f t="shared" si="1"/>
        <v>82.1142857142857</v>
      </c>
      <c r="N7" s="49">
        <f>M7*K7</f>
        <v>2873.9999999999995</v>
      </c>
      <c r="O7" s="52">
        <f t="shared" si="2"/>
        <v>0.22320596458527489</v>
      </c>
      <c r="Q7" s="83">
        <v>2</v>
      </c>
      <c r="R7" s="83" t="s">
        <v>99</v>
      </c>
    </row>
    <row r="8" spans="2:18" ht="15.5" x14ac:dyDescent="0.35">
      <c r="B8" s="14" t="s">
        <v>13</v>
      </c>
      <c r="C8" s="2" t="s">
        <v>19</v>
      </c>
      <c r="D8" s="5">
        <v>2500</v>
      </c>
      <c r="E8" s="2" t="s">
        <v>32</v>
      </c>
      <c r="F8" s="2" t="s">
        <v>32</v>
      </c>
      <c r="G8" s="2" t="s">
        <v>105</v>
      </c>
      <c r="H8" s="2" t="s">
        <v>36</v>
      </c>
      <c r="I8" s="44">
        <v>180</v>
      </c>
      <c r="J8" s="48">
        <v>1270</v>
      </c>
      <c r="K8" s="46">
        <v>27</v>
      </c>
      <c r="L8" s="47">
        <f t="shared" si="0"/>
        <v>47.037037037037038</v>
      </c>
      <c r="M8" s="47">
        <f t="shared" si="1"/>
        <v>132.96296296296296</v>
      </c>
      <c r="N8" s="49">
        <f>M8*K8</f>
        <v>3590</v>
      </c>
      <c r="O8" s="52">
        <f t="shared" si="2"/>
        <v>2.826771653543307</v>
      </c>
      <c r="Q8" s="83">
        <v>1</v>
      </c>
      <c r="R8" s="83" t="s">
        <v>99</v>
      </c>
    </row>
    <row r="9" spans="2:18" ht="16" thickBot="1" x14ac:dyDescent="0.4">
      <c r="B9" s="16" t="s">
        <v>14</v>
      </c>
      <c r="C9" s="17" t="s">
        <v>20</v>
      </c>
      <c r="D9" s="18">
        <v>4200</v>
      </c>
      <c r="E9" s="17" t="s">
        <v>33</v>
      </c>
      <c r="F9" s="17" t="s">
        <v>34</v>
      </c>
      <c r="G9" s="17" t="s">
        <v>105</v>
      </c>
      <c r="H9" s="17" t="s">
        <v>40</v>
      </c>
      <c r="I9" s="45">
        <v>680</v>
      </c>
      <c r="J9" s="50">
        <v>10622</v>
      </c>
      <c r="K9" s="51">
        <v>27</v>
      </c>
      <c r="L9" s="54">
        <f t="shared" si="0"/>
        <v>393.40740740740739</v>
      </c>
      <c r="M9" s="54">
        <f t="shared" si="1"/>
        <v>286.59259259259261</v>
      </c>
      <c r="N9" s="55">
        <f>K9*M9</f>
        <v>7738</v>
      </c>
      <c r="O9" s="53">
        <f t="shared" si="2"/>
        <v>0.72848804368292219</v>
      </c>
      <c r="Q9" s="84">
        <v>2</v>
      </c>
      <c r="R9" s="84" t="s">
        <v>98</v>
      </c>
    </row>
    <row r="10" spans="2:18" ht="15" thickBot="1" x14ac:dyDescent="0.4"/>
    <row r="11" spans="2:18" x14ac:dyDescent="0.35">
      <c r="C11" s="102" t="s">
        <v>90</v>
      </c>
      <c r="D11" s="181" t="s">
        <v>91</v>
      </c>
      <c r="E11" s="182"/>
    </row>
    <row r="12" spans="2:18" x14ac:dyDescent="0.35">
      <c r="C12" s="103" t="s">
        <v>117</v>
      </c>
      <c r="D12" s="172" t="s">
        <v>118</v>
      </c>
      <c r="E12" s="173"/>
    </row>
    <row r="13" spans="2:18" x14ac:dyDescent="0.35">
      <c r="C13" s="103" t="s">
        <v>93</v>
      </c>
      <c r="D13" s="172" t="s">
        <v>94</v>
      </c>
      <c r="E13" s="173"/>
    </row>
    <row r="14" spans="2:18" ht="15" thickBot="1" x14ac:dyDescent="0.4">
      <c r="C14" s="104" t="s">
        <v>96</v>
      </c>
      <c r="D14" s="174" t="s">
        <v>97</v>
      </c>
      <c r="E14" s="175"/>
    </row>
  </sheetData>
  <mergeCells count="7">
    <mergeCell ref="D13:E13"/>
    <mergeCell ref="D14:E14"/>
    <mergeCell ref="B2:I2"/>
    <mergeCell ref="J2:O2"/>
    <mergeCell ref="Q2:R2"/>
    <mergeCell ref="D11:E11"/>
    <mergeCell ref="D12:E1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1:D10"/>
  <sheetViews>
    <sheetView workbookViewId="0">
      <selection activeCell="E15" sqref="E15"/>
    </sheetView>
  </sheetViews>
  <sheetFormatPr baseColWidth="10" defaultRowHeight="14.5" x14ac:dyDescent="0.35"/>
  <cols>
    <col min="1" max="1" width="3.7265625" customWidth="1"/>
    <col min="2" max="2" width="3.1796875" customWidth="1"/>
    <col min="3" max="4" width="13" customWidth="1"/>
  </cols>
  <sheetData>
    <row r="1" spans="3:4" ht="15" thickBot="1" x14ac:dyDescent="0.4"/>
    <row r="2" spans="3:4" x14ac:dyDescent="0.35">
      <c r="C2" s="166" t="s">
        <v>44</v>
      </c>
      <c r="D2" s="167"/>
    </row>
    <row r="3" spans="3:4" x14ac:dyDescent="0.35">
      <c r="C3" s="25" t="s">
        <v>1</v>
      </c>
      <c r="D3" s="26" t="s">
        <v>42</v>
      </c>
    </row>
    <row r="4" spans="3:4" x14ac:dyDescent="0.35">
      <c r="C4" s="20" t="s">
        <v>36</v>
      </c>
      <c r="D4" s="27">
        <v>10</v>
      </c>
    </row>
    <row r="5" spans="3:4" x14ac:dyDescent="0.35">
      <c r="C5" s="20" t="s">
        <v>37</v>
      </c>
      <c r="D5" s="27">
        <v>3</v>
      </c>
    </row>
    <row r="6" spans="3:4" x14ac:dyDescent="0.35">
      <c r="C6" s="20" t="s">
        <v>38</v>
      </c>
      <c r="D6" s="27">
        <v>12</v>
      </c>
    </row>
    <row r="7" spans="3:4" x14ac:dyDescent="0.35">
      <c r="C7" s="20" t="s">
        <v>39</v>
      </c>
      <c r="D7" s="27">
        <v>3</v>
      </c>
    </row>
    <row r="8" spans="3:4" ht="15" thickBot="1" x14ac:dyDescent="0.4">
      <c r="C8" s="23" t="s">
        <v>40</v>
      </c>
      <c r="D8" s="28">
        <v>6</v>
      </c>
    </row>
    <row r="9" spans="3:4" ht="15" thickBot="1" x14ac:dyDescent="0.4"/>
    <row r="10" spans="3:4" ht="15" thickBot="1" x14ac:dyDescent="0.4">
      <c r="C10" s="60" t="s">
        <v>7</v>
      </c>
      <c r="D10" s="59"/>
    </row>
  </sheetData>
  <mergeCells count="1">
    <mergeCell ref="C2:D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K20"/>
  <sheetViews>
    <sheetView workbookViewId="0">
      <selection activeCell="E17" sqref="E17"/>
    </sheetView>
  </sheetViews>
  <sheetFormatPr baseColWidth="10" defaultRowHeight="14.5" x14ac:dyDescent="0.35"/>
  <cols>
    <col min="1" max="1" width="2.7265625" customWidth="1"/>
    <col min="2" max="2" width="14.7265625" bestFit="1" customWidth="1"/>
    <col min="3" max="3" width="16.7265625" bestFit="1" customWidth="1"/>
    <col min="4" max="4" width="13.7265625" customWidth="1"/>
    <col min="5" max="5" width="12.54296875" bestFit="1" customWidth="1"/>
    <col min="6" max="6" width="18.1796875" customWidth="1"/>
    <col min="7" max="7" width="13.453125" customWidth="1"/>
    <col min="8" max="8" width="21.26953125" bestFit="1" customWidth="1"/>
    <col min="9" max="9" width="21" customWidth="1"/>
    <col min="10" max="10" width="2.54296875" customWidth="1"/>
    <col min="11" max="11" width="20" customWidth="1"/>
  </cols>
  <sheetData>
    <row r="1" spans="2:11" ht="15" thickBot="1" x14ac:dyDescent="0.4"/>
    <row r="2" spans="2:11" ht="15" thickBot="1" x14ac:dyDescent="0.4">
      <c r="B2" s="60" t="s">
        <v>3</v>
      </c>
      <c r="C2" s="61">
        <f>'DATOS INICIALES'!C6</f>
        <v>200000</v>
      </c>
      <c r="E2" s="60" t="s">
        <v>72</v>
      </c>
      <c r="F2" s="60"/>
      <c r="G2" s="61">
        <f>'DATOS INICIALES'!H27</f>
        <v>300000</v>
      </c>
    </row>
    <row r="3" spans="2:11" ht="15" thickBot="1" x14ac:dyDescent="0.4"/>
    <row r="4" spans="2:11" ht="15" thickBot="1" x14ac:dyDescent="0.4">
      <c r="B4" s="166" t="s">
        <v>64</v>
      </c>
      <c r="C4" s="171"/>
      <c r="D4" s="171"/>
      <c r="E4" s="183"/>
    </row>
    <row r="5" spans="2:11" ht="30" customHeight="1" x14ac:dyDescent="0.35">
      <c r="B5" s="40" t="s">
        <v>45</v>
      </c>
      <c r="C5" s="41" t="s">
        <v>46</v>
      </c>
      <c r="D5" s="41" t="s">
        <v>47</v>
      </c>
      <c r="E5" s="68" t="s">
        <v>54</v>
      </c>
      <c r="F5" s="69" t="s">
        <v>86</v>
      </c>
      <c r="G5" s="70" t="s">
        <v>87</v>
      </c>
      <c r="H5" s="74" t="s">
        <v>88</v>
      </c>
      <c r="I5" s="75" t="s">
        <v>89</v>
      </c>
      <c r="K5" s="80" t="s">
        <v>102</v>
      </c>
    </row>
    <row r="6" spans="2:11" x14ac:dyDescent="0.35">
      <c r="B6" s="30" t="s">
        <v>48</v>
      </c>
      <c r="C6" s="6">
        <v>125000</v>
      </c>
      <c r="D6" s="29">
        <v>30000</v>
      </c>
      <c r="E6" s="62">
        <v>20000</v>
      </c>
      <c r="F6" s="64"/>
      <c r="G6" s="71"/>
      <c r="H6" s="76">
        <v>50000</v>
      </c>
      <c r="I6" s="31">
        <v>125000</v>
      </c>
      <c r="K6" s="81">
        <f>I6/D6</f>
        <v>4.166666666666667</v>
      </c>
    </row>
    <row r="7" spans="2:11" x14ac:dyDescent="0.35">
      <c r="B7" s="30" t="s">
        <v>49</v>
      </c>
      <c r="C7" s="6">
        <v>100000</v>
      </c>
      <c r="D7" s="29">
        <v>0</v>
      </c>
      <c r="E7" s="62">
        <v>0</v>
      </c>
      <c r="F7" s="64"/>
      <c r="G7" s="71"/>
      <c r="H7" s="20"/>
      <c r="I7" s="31">
        <v>100000</v>
      </c>
      <c r="K7" s="81"/>
    </row>
    <row r="8" spans="2:11" x14ac:dyDescent="0.35">
      <c r="B8" s="30" t="s">
        <v>50</v>
      </c>
      <c r="C8" s="6">
        <v>2230000</v>
      </c>
      <c r="D8" s="29">
        <v>150000</v>
      </c>
      <c r="E8" s="62">
        <v>300000</v>
      </c>
      <c r="F8" s="64"/>
      <c r="G8" s="72"/>
      <c r="H8" s="20"/>
      <c r="I8" s="31"/>
      <c r="K8" s="81"/>
    </row>
    <row r="9" spans="2:11" x14ac:dyDescent="0.35">
      <c r="B9" s="30" t="s">
        <v>51</v>
      </c>
      <c r="C9" s="6">
        <v>485000</v>
      </c>
      <c r="D9" s="29">
        <v>0</v>
      </c>
      <c r="E9" s="62">
        <v>0</v>
      </c>
      <c r="F9" s="64"/>
      <c r="G9" s="71"/>
      <c r="H9" s="20"/>
      <c r="I9" s="31">
        <v>485000</v>
      </c>
      <c r="K9" s="81"/>
    </row>
    <row r="10" spans="2:11" x14ac:dyDescent="0.35">
      <c r="B10" s="30" t="s">
        <v>52</v>
      </c>
      <c r="C10" s="6">
        <v>320000</v>
      </c>
      <c r="D10" s="29">
        <v>75000</v>
      </c>
      <c r="E10" s="62">
        <v>0</v>
      </c>
      <c r="F10" s="64"/>
      <c r="G10" s="71"/>
      <c r="H10" s="48">
        <v>75000</v>
      </c>
      <c r="I10" s="31">
        <v>320000</v>
      </c>
      <c r="K10" s="81">
        <f>I10/D10</f>
        <v>4.2666666666666666</v>
      </c>
    </row>
    <row r="11" spans="2:11" x14ac:dyDescent="0.35">
      <c r="B11" s="30" t="s">
        <v>53</v>
      </c>
      <c r="C11" s="6">
        <v>180000</v>
      </c>
      <c r="D11" s="29">
        <v>52000</v>
      </c>
      <c r="E11" s="62">
        <v>18000</v>
      </c>
      <c r="F11" s="64"/>
      <c r="G11" s="71"/>
      <c r="H11" s="78">
        <f>D11+E11</f>
        <v>70000</v>
      </c>
      <c r="I11" s="31">
        <v>180000</v>
      </c>
      <c r="K11" s="81">
        <f>I11/D11</f>
        <v>3.4615384615384617</v>
      </c>
    </row>
    <row r="12" spans="2:11" x14ac:dyDescent="0.35">
      <c r="B12" s="30" t="s">
        <v>55</v>
      </c>
      <c r="C12" s="6">
        <v>85000</v>
      </c>
      <c r="D12" s="29">
        <v>15000</v>
      </c>
      <c r="E12" s="62">
        <v>0</v>
      </c>
      <c r="F12" s="65"/>
      <c r="G12" s="72"/>
      <c r="H12" s="20"/>
      <c r="I12" s="31"/>
      <c r="K12" s="81"/>
    </row>
    <row r="13" spans="2:11" x14ac:dyDescent="0.35">
      <c r="B13" s="30" t="s">
        <v>56</v>
      </c>
      <c r="C13" s="6">
        <v>220000</v>
      </c>
      <c r="D13" s="29">
        <v>0</v>
      </c>
      <c r="E13" s="62">
        <v>0</v>
      </c>
      <c r="F13" s="65"/>
      <c r="G13" s="72"/>
      <c r="H13" s="20"/>
      <c r="I13" s="31"/>
      <c r="K13" s="81"/>
    </row>
    <row r="14" spans="2:11" x14ac:dyDescent="0.35">
      <c r="B14" s="30" t="s">
        <v>57</v>
      </c>
      <c r="C14" s="6">
        <v>50000</v>
      </c>
      <c r="D14" s="29">
        <v>0</v>
      </c>
      <c r="E14" s="62">
        <v>0</v>
      </c>
      <c r="F14" s="65"/>
      <c r="G14" s="72"/>
      <c r="H14" s="20"/>
      <c r="I14" s="31"/>
      <c r="K14" s="81"/>
    </row>
    <row r="15" spans="2:11" x14ac:dyDescent="0.35">
      <c r="B15" s="30" t="s">
        <v>58</v>
      </c>
      <c r="C15" s="6">
        <v>180000</v>
      </c>
      <c r="D15" s="29">
        <v>0</v>
      </c>
      <c r="E15" s="62">
        <v>0</v>
      </c>
      <c r="F15" s="65"/>
      <c r="G15" s="72"/>
      <c r="H15" s="20"/>
      <c r="I15" s="31"/>
      <c r="K15" s="81"/>
    </row>
    <row r="16" spans="2:11" x14ac:dyDescent="0.35">
      <c r="B16" s="30" t="s">
        <v>59</v>
      </c>
      <c r="C16" s="6">
        <v>120000</v>
      </c>
      <c r="D16" s="29">
        <v>25000</v>
      </c>
      <c r="E16" s="62">
        <v>25000</v>
      </c>
      <c r="F16" s="65"/>
      <c r="G16" s="72"/>
      <c r="H16" s="20"/>
      <c r="I16" s="31"/>
      <c r="K16" s="81"/>
    </row>
    <row r="17" spans="2:11" x14ac:dyDescent="0.35">
      <c r="B17" s="30" t="s">
        <v>60</v>
      </c>
      <c r="C17" s="6">
        <v>450000</v>
      </c>
      <c r="D17" s="29">
        <v>50000</v>
      </c>
      <c r="E17" s="62">
        <v>50000</v>
      </c>
      <c r="F17" s="65"/>
      <c r="G17" s="72"/>
      <c r="H17" s="20"/>
      <c r="I17" s="31"/>
      <c r="K17" s="81"/>
    </row>
    <row r="18" spans="2:11" x14ac:dyDescent="0.35">
      <c r="B18" s="30" t="s">
        <v>61</v>
      </c>
      <c r="C18" s="6">
        <v>280000</v>
      </c>
      <c r="D18" s="29">
        <v>15000</v>
      </c>
      <c r="E18" s="62">
        <v>15000</v>
      </c>
      <c r="F18" s="64"/>
      <c r="G18" s="71"/>
      <c r="H18" s="78">
        <f>D18+E18</f>
        <v>30000</v>
      </c>
      <c r="I18" s="31">
        <v>280000</v>
      </c>
      <c r="K18" s="81">
        <f>I18/D18</f>
        <v>18.666666666666668</v>
      </c>
    </row>
    <row r="19" spans="2:11" x14ac:dyDescent="0.35">
      <c r="B19" s="30" t="s">
        <v>62</v>
      </c>
      <c r="C19" s="6">
        <v>1090000</v>
      </c>
      <c r="D19" s="29">
        <v>0</v>
      </c>
      <c r="E19" s="62">
        <v>0</v>
      </c>
      <c r="F19" s="64"/>
      <c r="G19" s="72"/>
      <c r="H19" s="20"/>
      <c r="I19" s="31"/>
      <c r="K19" s="81"/>
    </row>
    <row r="20" spans="2:11" ht="15" thickBot="1" x14ac:dyDescent="0.4">
      <c r="B20" s="32" t="s">
        <v>63</v>
      </c>
      <c r="C20" s="33">
        <v>1800000</v>
      </c>
      <c r="D20" s="34">
        <v>0</v>
      </c>
      <c r="E20" s="63">
        <v>0</v>
      </c>
      <c r="F20" s="66"/>
      <c r="G20" s="73"/>
      <c r="H20" s="23"/>
      <c r="I20" s="35"/>
      <c r="K20" s="82"/>
    </row>
  </sheetData>
  <mergeCells count="1">
    <mergeCell ref="B4:E4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AN9"/>
  <sheetViews>
    <sheetView topLeftCell="D1" workbookViewId="0">
      <selection activeCell="P13" sqref="P13"/>
    </sheetView>
  </sheetViews>
  <sheetFormatPr baseColWidth="10" defaultRowHeight="14.5" x14ac:dyDescent="0.35"/>
  <cols>
    <col min="3" max="3" width="17.453125" bestFit="1" customWidth="1"/>
    <col min="5" max="34" width="3.7265625" style="86" customWidth="1"/>
    <col min="39" max="39" width="3.1796875" customWidth="1"/>
  </cols>
  <sheetData>
    <row r="1" spans="2:40" ht="15" thickBot="1" x14ac:dyDescent="0.4"/>
    <row r="2" spans="2:40" ht="15" thickBot="1" x14ac:dyDescent="0.4">
      <c r="B2" s="179" t="s">
        <v>101</v>
      </c>
      <c r="C2" s="180"/>
      <c r="E2" s="94" t="s">
        <v>107</v>
      </c>
      <c r="F2" s="95" t="s">
        <v>108</v>
      </c>
      <c r="G2" s="95" t="s">
        <v>108</v>
      </c>
      <c r="H2" s="95" t="s">
        <v>109</v>
      </c>
      <c r="I2" s="95" t="s">
        <v>110</v>
      </c>
      <c r="J2" s="95" t="s">
        <v>111</v>
      </c>
      <c r="K2" s="95" t="s">
        <v>112</v>
      </c>
      <c r="L2" s="95" t="s">
        <v>107</v>
      </c>
      <c r="M2" s="95" t="s">
        <v>108</v>
      </c>
      <c r="N2" s="95" t="s">
        <v>108</v>
      </c>
      <c r="O2" s="95" t="s">
        <v>109</v>
      </c>
      <c r="P2" s="95" t="s">
        <v>110</v>
      </c>
      <c r="Q2" s="95" t="s">
        <v>111</v>
      </c>
      <c r="R2" s="95" t="s">
        <v>112</v>
      </c>
      <c r="S2" s="95" t="s">
        <v>107</v>
      </c>
      <c r="T2" s="95" t="s">
        <v>108</v>
      </c>
      <c r="U2" s="95" t="s">
        <v>108</v>
      </c>
      <c r="V2" s="95" t="s">
        <v>109</v>
      </c>
      <c r="W2" s="95" t="s">
        <v>110</v>
      </c>
      <c r="X2" s="95" t="s">
        <v>111</v>
      </c>
      <c r="Y2" s="95" t="s">
        <v>112</v>
      </c>
      <c r="Z2" s="95" t="s">
        <v>107</v>
      </c>
      <c r="AA2" s="95" t="s">
        <v>108</v>
      </c>
      <c r="AB2" s="95" t="s">
        <v>108</v>
      </c>
      <c r="AC2" s="95" t="s">
        <v>109</v>
      </c>
      <c r="AD2" s="95" t="s">
        <v>110</v>
      </c>
      <c r="AE2" s="95" t="s">
        <v>111</v>
      </c>
      <c r="AF2" s="95" t="s">
        <v>112</v>
      </c>
      <c r="AG2" s="95" t="s">
        <v>107</v>
      </c>
      <c r="AH2" s="96" t="s">
        <v>108</v>
      </c>
    </row>
    <row r="3" spans="2:40" ht="43.5" x14ac:dyDescent="0.35">
      <c r="B3" s="85" t="s">
        <v>92</v>
      </c>
      <c r="C3" s="85" t="s">
        <v>95</v>
      </c>
      <c r="E3" s="88">
        <v>1</v>
      </c>
      <c r="F3" s="89">
        <v>2</v>
      </c>
      <c r="G3" s="89">
        <v>3</v>
      </c>
      <c r="H3" s="89">
        <v>4</v>
      </c>
      <c r="I3" s="89">
        <v>5</v>
      </c>
      <c r="J3" s="89">
        <v>6</v>
      </c>
      <c r="K3" s="89">
        <v>7</v>
      </c>
      <c r="L3" s="89">
        <v>8</v>
      </c>
      <c r="M3" s="89">
        <v>9</v>
      </c>
      <c r="N3" s="89">
        <v>10</v>
      </c>
      <c r="O3" s="89">
        <v>11</v>
      </c>
      <c r="P3" s="89">
        <v>12</v>
      </c>
      <c r="Q3" s="89">
        <v>13</v>
      </c>
      <c r="R3" s="89">
        <v>14</v>
      </c>
      <c r="S3" s="89">
        <v>15</v>
      </c>
      <c r="T3" s="89">
        <v>16</v>
      </c>
      <c r="U3" s="89">
        <v>17</v>
      </c>
      <c r="V3" s="89">
        <v>18</v>
      </c>
      <c r="W3" s="89">
        <v>19</v>
      </c>
      <c r="X3" s="89">
        <v>20</v>
      </c>
      <c r="Y3" s="89">
        <v>21</v>
      </c>
      <c r="Z3" s="89">
        <v>22</v>
      </c>
      <c r="AA3" s="89">
        <v>23</v>
      </c>
      <c r="AB3" s="89">
        <v>24</v>
      </c>
      <c r="AC3" s="89">
        <v>25</v>
      </c>
      <c r="AD3" s="89">
        <v>26</v>
      </c>
      <c r="AE3" s="89">
        <v>27</v>
      </c>
      <c r="AF3" s="89">
        <v>28</v>
      </c>
      <c r="AG3" s="89">
        <v>29</v>
      </c>
      <c r="AH3" s="89">
        <v>30</v>
      </c>
      <c r="AI3" s="90" t="s">
        <v>113</v>
      </c>
      <c r="AJ3" s="97" t="s">
        <v>114</v>
      </c>
      <c r="AK3" s="90" t="s">
        <v>115</v>
      </c>
      <c r="AL3" s="97" t="s">
        <v>116</v>
      </c>
      <c r="AN3" s="105" t="s">
        <v>103</v>
      </c>
    </row>
    <row r="4" spans="2:40" x14ac:dyDescent="0.35">
      <c r="B4" s="83">
        <v>3</v>
      </c>
      <c r="C4" s="83" t="s">
        <v>98</v>
      </c>
      <c r="E4" s="91">
        <v>1</v>
      </c>
      <c r="F4" s="87"/>
      <c r="G4" s="87"/>
      <c r="H4" s="87">
        <v>1</v>
      </c>
      <c r="I4" s="87"/>
      <c r="J4" s="87"/>
      <c r="K4" s="87"/>
      <c r="L4" s="87">
        <v>1</v>
      </c>
      <c r="M4" s="87"/>
      <c r="N4" s="87"/>
      <c r="O4" s="87">
        <v>1</v>
      </c>
      <c r="P4" s="87"/>
      <c r="Q4" s="87"/>
      <c r="R4" s="87"/>
      <c r="S4" s="87">
        <v>1</v>
      </c>
      <c r="T4" s="87"/>
      <c r="U4" s="87"/>
      <c r="V4" s="87">
        <v>1</v>
      </c>
      <c r="W4" s="87"/>
      <c r="X4" s="87"/>
      <c r="Y4" s="87"/>
      <c r="Z4" s="87">
        <v>1</v>
      </c>
      <c r="AA4" s="87"/>
      <c r="AB4" s="87"/>
      <c r="AC4" s="87">
        <v>1</v>
      </c>
      <c r="AD4" s="87"/>
      <c r="AE4" s="87"/>
      <c r="AF4" s="87"/>
      <c r="AG4" s="87">
        <v>1</v>
      </c>
      <c r="AH4" s="87"/>
      <c r="AI4" s="77">
        <f>SUM(E4:AH4)</f>
        <v>9</v>
      </c>
      <c r="AJ4" s="98">
        <f>MARGENES!J4</f>
        <v>18372</v>
      </c>
      <c r="AK4" s="77">
        <v>5</v>
      </c>
      <c r="AL4" s="98">
        <f>AJ4*AK4</f>
        <v>91860</v>
      </c>
      <c r="AN4" s="106" t="s">
        <v>104</v>
      </c>
    </row>
    <row r="5" spans="2:40" x14ac:dyDescent="0.35">
      <c r="B5" s="83">
        <v>2</v>
      </c>
      <c r="C5" s="83" t="s">
        <v>99</v>
      </c>
      <c r="E5" s="91">
        <v>1</v>
      </c>
      <c r="F5" s="87"/>
      <c r="G5" s="87">
        <v>1</v>
      </c>
      <c r="H5" s="87"/>
      <c r="I5" s="87">
        <v>1</v>
      </c>
      <c r="J5" s="87"/>
      <c r="K5" s="87"/>
      <c r="L5" s="87">
        <v>1</v>
      </c>
      <c r="M5" s="87"/>
      <c r="N5" s="87">
        <v>1</v>
      </c>
      <c r="O5" s="87"/>
      <c r="P5" s="87">
        <v>1</v>
      </c>
      <c r="Q5" s="87"/>
      <c r="R5" s="87"/>
      <c r="S5" s="87">
        <v>1</v>
      </c>
      <c r="T5" s="87"/>
      <c r="U5" s="87">
        <v>1</v>
      </c>
      <c r="V5" s="87"/>
      <c r="W5" s="87">
        <v>1</v>
      </c>
      <c r="X5" s="87"/>
      <c r="Y5" s="87"/>
      <c r="Z5" s="87">
        <v>1</v>
      </c>
      <c r="AA5" s="87"/>
      <c r="AB5" s="87">
        <v>1</v>
      </c>
      <c r="AC5" s="87"/>
      <c r="AD5" s="87">
        <v>1</v>
      </c>
      <c r="AE5" s="87"/>
      <c r="AF5" s="87"/>
      <c r="AG5" s="87">
        <v>1</v>
      </c>
      <c r="AH5" s="87"/>
      <c r="AI5" s="77">
        <f t="shared" ref="AI5:AI9" si="0">SUM(E5:AH5)</f>
        <v>13</v>
      </c>
      <c r="AJ5" s="98">
        <f>MARGENES!J5</f>
        <v>11935</v>
      </c>
      <c r="AK5" s="77">
        <v>7</v>
      </c>
      <c r="AL5" s="98">
        <f t="shared" ref="AL5:AL9" si="1">AJ5*AK5</f>
        <v>83545</v>
      </c>
      <c r="AN5" s="106" t="s">
        <v>104</v>
      </c>
    </row>
    <row r="6" spans="2:40" x14ac:dyDescent="0.35">
      <c r="B6" s="83">
        <v>4</v>
      </c>
      <c r="C6" s="83" t="s">
        <v>100</v>
      </c>
      <c r="E6" s="91">
        <v>1</v>
      </c>
      <c r="F6" s="87"/>
      <c r="G6" s="87"/>
      <c r="H6" s="87"/>
      <c r="I6" s="87">
        <v>1</v>
      </c>
      <c r="J6" s="87"/>
      <c r="K6" s="87"/>
      <c r="L6" s="87"/>
      <c r="M6" s="87">
        <v>1</v>
      </c>
      <c r="N6" s="87"/>
      <c r="O6" s="87"/>
      <c r="P6" s="87"/>
      <c r="Q6" s="87">
        <v>1</v>
      </c>
      <c r="R6" s="87"/>
      <c r="S6" s="87"/>
      <c r="T6" s="87"/>
      <c r="U6" s="87">
        <v>1</v>
      </c>
      <c r="V6" s="87"/>
      <c r="W6" s="87"/>
      <c r="X6" s="87"/>
      <c r="Y6" s="87">
        <v>1</v>
      </c>
      <c r="Z6" s="87"/>
      <c r="AA6" s="87"/>
      <c r="AB6" s="87"/>
      <c r="AC6" s="87">
        <v>1</v>
      </c>
      <c r="AD6" s="87"/>
      <c r="AE6" s="87"/>
      <c r="AF6" s="87"/>
      <c r="AG6" s="87">
        <v>1</v>
      </c>
      <c r="AH6" s="87"/>
      <c r="AI6" s="77">
        <f t="shared" si="0"/>
        <v>8</v>
      </c>
      <c r="AJ6" s="98">
        <f>MARGENES!J6</f>
        <v>19719</v>
      </c>
      <c r="AK6" s="77">
        <v>4</v>
      </c>
      <c r="AL6" s="98">
        <f t="shared" si="1"/>
        <v>78876</v>
      </c>
      <c r="AN6" s="106" t="s">
        <v>105</v>
      </c>
    </row>
    <row r="7" spans="2:40" x14ac:dyDescent="0.35">
      <c r="B7" s="83">
        <v>2</v>
      </c>
      <c r="C7" s="83" t="s">
        <v>99</v>
      </c>
      <c r="E7" s="91">
        <v>1</v>
      </c>
      <c r="F7" s="87"/>
      <c r="G7" s="87">
        <v>1</v>
      </c>
      <c r="H7" s="87"/>
      <c r="I7" s="87">
        <v>1</v>
      </c>
      <c r="J7" s="87"/>
      <c r="K7" s="87"/>
      <c r="L7" s="87">
        <v>1</v>
      </c>
      <c r="M7" s="87"/>
      <c r="N7" s="87">
        <v>1</v>
      </c>
      <c r="O7" s="87"/>
      <c r="P7" s="87">
        <v>1</v>
      </c>
      <c r="Q7" s="87"/>
      <c r="R7" s="87"/>
      <c r="S7" s="87">
        <v>1</v>
      </c>
      <c r="T7" s="87"/>
      <c r="U7" s="87">
        <v>1</v>
      </c>
      <c r="V7" s="87"/>
      <c r="W7" s="87">
        <v>1</v>
      </c>
      <c r="X7" s="87"/>
      <c r="Y7" s="87"/>
      <c r="Z7" s="87">
        <v>1</v>
      </c>
      <c r="AA7" s="87"/>
      <c r="AB7" s="87">
        <v>1</v>
      </c>
      <c r="AC7" s="87"/>
      <c r="AD7" s="87">
        <v>1</v>
      </c>
      <c r="AE7" s="87"/>
      <c r="AF7" s="87"/>
      <c r="AG7" s="87">
        <v>1</v>
      </c>
      <c r="AH7" s="87"/>
      <c r="AI7" s="77">
        <f t="shared" si="0"/>
        <v>13</v>
      </c>
      <c r="AJ7" s="98">
        <f>MARGENES!J7</f>
        <v>12876</v>
      </c>
      <c r="AK7" s="77">
        <v>7</v>
      </c>
      <c r="AL7" s="98">
        <f t="shared" si="1"/>
        <v>90132</v>
      </c>
      <c r="AN7" s="106" t="s">
        <v>106</v>
      </c>
    </row>
    <row r="8" spans="2:40" x14ac:dyDescent="0.35">
      <c r="B8" s="83">
        <v>1</v>
      </c>
      <c r="C8" s="83" t="s">
        <v>99</v>
      </c>
      <c r="E8" s="91">
        <v>1</v>
      </c>
      <c r="F8" s="87">
        <v>1</v>
      </c>
      <c r="G8" s="87">
        <v>1</v>
      </c>
      <c r="H8" s="87">
        <v>1</v>
      </c>
      <c r="I8" s="87">
        <v>1</v>
      </c>
      <c r="J8" s="87">
        <v>1</v>
      </c>
      <c r="K8" s="87"/>
      <c r="L8" s="87">
        <v>1</v>
      </c>
      <c r="M8" s="87">
        <v>1</v>
      </c>
      <c r="N8" s="87">
        <v>1</v>
      </c>
      <c r="O8" s="87">
        <v>1</v>
      </c>
      <c r="P8" s="87">
        <v>1</v>
      </c>
      <c r="Q8" s="87">
        <v>1</v>
      </c>
      <c r="R8" s="87"/>
      <c r="S8" s="87">
        <v>1</v>
      </c>
      <c r="T8" s="87">
        <v>1</v>
      </c>
      <c r="U8" s="87">
        <v>1</v>
      </c>
      <c r="V8" s="87">
        <v>1</v>
      </c>
      <c r="W8" s="87">
        <v>1</v>
      </c>
      <c r="X8" s="87">
        <v>1</v>
      </c>
      <c r="Y8" s="87"/>
      <c r="Z8" s="87">
        <v>1</v>
      </c>
      <c r="AA8" s="87">
        <v>1</v>
      </c>
      <c r="AB8" s="87">
        <v>1</v>
      </c>
      <c r="AC8" s="87">
        <v>1</v>
      </c>
      <c r="AD8" s="87">
        <v>1</v>
      </c>
      <c r="AE8" s="87">
        <v>1</v>
      </c>
      <c r="AF8" s="87"/>
      <c r="AG8" s="87">
        <v>1</v>
      </c>
      <c r="AH8" s="87">
        <v>1</v>
      </c>
      <c r="AI8" s="77">
        <f t="shared" si="0"/>
        <v>26</v>
      </c>
      <c r="AJ8" s="98">
        <f>MARGENES!J8</f>
        <v>1270</v>
      </c>
      <c r="AK8" s="77">
        <v>11</v>
      </c>
      <c r="AL8" s="98">
        <f t="shared" si="1"/>
        <v>13970</v>
      </c>
      <c r="AN8" s="106" t="s">
        <v>105</v>
      </c>
    </row>
    <row r="9" spans="2:40" ht="15" thickBot="1" x14ac:dyDescent="0.4">
      <c r="B9" s="84">
        <v>3</v>
      </c>
      <c r="C9" s="84" t="s">
        <v>98</v>
      </c>
      <c r="E9" s="92">
        <v>1</v>
      </c>
      <c r="F9" s="93"/>
      <c r="G9" s="93"/>
      <c r="H9" s="93">
        <v>1</v>
      </c>
      <c r="I9" s="93"/>
      <c r="J9" s="93"/>
      <c r="K9" s="93"/>
      <c r="L9" s="93">
        <v>1</v>
      </c>
      <c r="M9" s="93"/>
      <c r="N9" s="93"/>
      <c r="O9" s="93">
        <v>1</v>
      </c>
      <c r="P9" s="93"/>
      <c r="Q9" s="93"/>
      <c r="R9" s="93"/>
      <c r="S9" s="93">
        <v>1</v>
      </c>
      <c r="T9" s="93"/>
      <c r="U9" s="93"/>
      <c r="V9" s="93">
        <v>1</v>
      </c>
      <c r="W9" s="93"/>
      <c r="X9" s="93"/>
      <c r="Y9" s="93"/>
      <c r="Z9" s="93">
        <v>1</v>
      </c>
      <c r="AA9" s="93"/>
      <c r="AB9" s="93"/>
      <c r="AC9" s="93">
        <v>1</v>
      </c>
      <c r="AD9" s="93"/>
      <c r="AE9" s="93"/>
      <c r="AF9" s="93"/>
      <c r="AG9" s="93">
        <v>1</v>
      </c>
      <c r="AH9" s="93"/>
      <c r="AI9" s="79">
        <f t="shared" si="0"/>
        <v>9</v>
      </c>
      <c r="AJ9" s="99">
        <f>MARGENES!J9</f>
        <v>10622</v>
      </c>
      <c r="AK9" s="79">
        <v>5</v>
      </c>
      <c r="AL9" s="99">
        <f t="shared" si="1"/>
        <v>53110</v>
      </c>
      <c r="AN9" s="107" t="s">
        <v>105</v>
      </c>
    </row>
  </sheetData>
  <mergeCells count="1">
    <mergeCell ref="B2:C2"/>
  </mergeCells>
  <conditionalFormatting sqref="E4:AH9">
    <cfRule type="cellIs" dxfId="3" priority="1" operator="equal">
      <formula>1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O37"/>
  <sheetViews>
    <sheetView workbookViewId="0">
      <selection activeCell="E12" sqref="E12"/>
    </sheetView>
  </sheetViews>
  <sheetFormatPr baseColWidth="10" defaultRowHeight="14.5" x14ac:dyDescent="0.35"/>
  <cols>
    <col min="1" max="1" width="2.7265625" customWidth="1"/>
    <col min="2" max="2" width="14.81640625" customWidth="1"/>
    <col min="3" max="3" width="12.26953125" customWidth="1"/>
    <col min="4" max="5" width="11.81640625" bestFit="1" customWidth="1"/>
    <col min="6" max="6" width="12.54296875" bestFit="1" customWidth="1"/>
    <col min="7" max="7" width="12.1796875" customWidth="1"/>
    <col min="8" max="8" width="12.54296875" bestFit="1" customWidth="1"/>
    <col min="9" max="9" width="12.54296875" customWidth="1"/>
    <col min="10" max="10" width="12.54296875" bestFit="1" customWidth="1"/>
    <col min="11" max="11" width="11.81640625" customWidth="1"/>
    <col min="12" max="12" width="12.54296875" bestFit="1" customWidth="1"/>
    <col min="13" max="13" width="3.453125" customWidth="1"/>
  </cols>
  <sheetData>
    <row r="1" spans="2:15" ht="15" thickBot="1" x14ac:dyDescent="0.4"/>
    <row r="2" spans="2:15" ht="15" thickBot="1" x14ac:dyDescent="0.4">
      <c r="B2" s="168" t="s">
        <v>8</v>
      </c>
      <c r="C2" s="169"/>
      <c r="D2" s="169"/>
      <c r="E2" s="169"/>
      <c r="F2" s="170"/>
      <c r="G2" s="176" t="s">
        <v>85</v>
      </c>
      <c r="H2" s="177"/>
      <c r="I2" s="177"/>
      <c r="J2" s="177"/>
      <c r="K2" s="177"/>
      <c r="L2" s="178"/>
    </row>
    <row r="3" spans="2:15" ht="29" x14ac:dyDescent="0.35">
      <c r="B3" s="40" t="s">
        <v>1</v>
      </c>
      <c r="C3" s="41" t="s">
        <v>43</v>
      </c>
      <c r="D3" s="41" t="s">
        <v>103</v>
      </c>
      <c r="E3" s="41" t="s">
        <v>35</v>
      </c>
      <c r="F3" s="43" t="s">
        <v>41</v>
      </c>
      <c r="G3" s="56" t="s">
        <v>79</v>
      </c>
      <c r="H3" s="57" t="s">
        <v>80</v>
      </c>
      <c r="I3" s="57" t="s">
        <v>81</v>
      </c>
      <c r="J3" s="57" t="s">
        <v>82</v>
      </c>
      <c r="K3" s="58" t="s">
        <v>83</v>
      </c>
      <c r="L3" s="58" t="s">
        <v>84</v>
      </c>
      <c r="M3" s="42"/>
      <c r="N3" s="97" t="s">
        <v>113</v>
      </c>
      <c r="O3" s="97" t="s">
        <v>134</v>
      </c>
    </row>
    <row r="4" spans="2:15" ht="15.5" x14ac:dyDescent="0.35">
      <c r="B4" s="14" t="s">
        <v>9</v>
      </c>
      <c r="C4" s="5">
        <v>9200</v>
      </c>
      <c r="D4" s="2" t="s">
        <v>105</v>
      </c>
      <c r="E4" s="2" t="s">
        <v>38</v>
      </c>
      <c r="F4" s="44">
        <v>815</v>
      </c>
      <c r="G4" s="48">
        <v>19719</v>
      </c>
      <c r="H4" s="46">
        <v>27</v>
      </c>
      <c r="I4" s="47">
        <f t="shared" ref="I4:I6" si="0">G4/H4</f>
        <v>730.33333333333337</v>
      </c>
      <c r="J4" s="47">
        <f t="shared" ref="J4:J6" si="1">F4-I4</f>
        <v>84.666666666666629</v>
      </c>
      <c r="K4" s="49">
        <f>J4*H4</f>
        <v>2285.9999999999991</v>
      </c>
      <c r="L4" s="52">
        <f t="shared" ref="L4:L6" si="2">K4/G4</f>
        <v>0.11592879963486988</v>
      </c>
      <c r="N4" s="108">
        <f>'PROYECCIÓN DE VENTAS '!AI6</f>
        <v>8</v>
      </c>
      <c r="O4" s="108">
        <f>N4/2</f>
        <v>4</v>
      </c>
    </row>
    <row r="5" spans="2:15" ht="15.5" x14ac:dyDescent="0.35">
      <c r="B5" s="14" t="s">
        <v>13</v>
      </c>
      <c r="C5" s="5">
        <v>2500</v>
      </c>
      <c r="D5" s="2" t="s">
        <v>105</v>
      </c>
      <c r="E5" s="2" t="s">
        <v>36</v>
      </c>
      <c r="F5" s="44">
        <v>180</v>
      </c>
      <c r="G5" s="48">
        <v>1270</v>
      </c>
      <c r="H5" s="46">
        <v>27</v>
      </c>
      <c r="I5" s="47">
        <f t="shared" si="0"/>
        <v>47.037037037037038</v>
      </c>
      <c r="J5" s="47">
        <f t="shared" si="1"/>
        <v>132.96296296296296</v>
      </c>
      <c r="K5" s="49">
        <f>J5*H5</f>
        <v>3590</v>
      </c>
      <c r="L5" s="52">
        <f t="shared" si="2"/>
        <v>2.826771653543307</v>
      </c>
      <c r="N5" s="108">
        <f>'PROYECCIÓN DE VENTAS '!AI8</f>
        <v>26</v>
      </c>
      <c r="O5" s="108">
        <v>13</v>
      </c>
    </row>
    <row r="6" spans="2:15" ht="16" thickBot="1" x14ac:dyDescent="0.4">
      <c r="B6" s="16" t="s">
        <v>14</v>
      </c>
      <c r="C6" s="18">
        <v>4200</v>
      </c>
      <c r="D6" s="17" t="s">
        <v>105</v>
      </c>
      <c r="E6" s="17" t="s">
        <v>40</v>
      </c>
      <c r="F6" s="45">
        <v>680</v>
      </c>
      <c r="G6" s="50">
        <v>10622</v>
      </c>
      <c r="H6" s="51">
        <v>27</v>
      </c>
      <c r="I6" s="54">
        <f t="shared" si="0"/>
        <v>393.40740740740739</v>
      </c>
      <c r="J6" s="54">
        <f t="shared" si="1"/>
        <v>286.59259259259261</v>
      </c>
      <c r="K6" s="55">
        <f>H6*J6</f>
        <v>7738</v>
      </c>
      <c r="L6" s="53">
        <f t="shared" si="2"/>
        <v>0.72848804368292219</v>
      </c>
      <c r="N6" s="109">
        <f>'PROYECCIÓN DE VENTAS '!AI9</f>
        <v>9</v>
      </c>
      <c r="O6" s="109">
        <v>4.5</v>
      </c>
    </row>
    <row r="8" spans="2:15" ht="15" thickBot="1" x14ac:dyDescent="0.4"/>
    <row r="9" spans="2:15" x14ac:dyDescent="0.35">
      <c r="B9" s="114" t="s">
        <v>9</v>
      </c>
      <c r="C9" s="184" t="s">
        <v>119</v>
      </c>
      <c r="D9" s="184"/>
      <c r="E9" s="184"/>
      <c r="F9" s="184"/>
      <c r="G9" s="184"/>
      <c r="H9" s="184"/>
      <c r="I9" s="184"/>
      <c r="J9" s="184"/>
      <c r="K9" s="184"/>
      <c r="L9" s="185"/>
    </row>
    <row r="10" spans="2:15" x14ac:dyDescent="0.35">
      <c r="B10" s="115" t="s">
        <v>120</v>
      </c>
      <c r="C10" s="112">
        <v>1</v>
      </c>
      <c r="D10" s="112">
        <v>2</v>
      </c>
      <c r="E10" s="112">
        <v>3</v>
      </c>
      <c r="F10" s="112">
        <v>4</v>
      </c>
      <c r="G10" s="112">
        <v>5</v>
      </c>
      <c r="H10" s="112">
        <v>6</v>
      </c>
      <c r="I10" s="112">
        <v>7</v>
      </c>
      <c r="J10" s="112">
        <v>8</v>
      </c>
      <c r="K10" s="112">
        <v>9</v>
      </c>
      <c r="L10" s="116">
        <v>10</v>
      </c>
    </row>
    <row r="11" spans="2:15" ht="30" customHeight="1" x14ac:dyDescent="0.35">
      <c r="B11" s="117" t="s">
        <v>121</v>
      </c>
      <c r="C11" s="110">
        <f>'PROYECCIÓN DE VENTAS '!AL6</f>
        <v>78876</v>
      </c>
      <c r="D11" s="110">
        <f>C11</f>
        <v>78876</v>
      </c>
      <c r="E11" s="110">
        <f t="shared" ref="E11:L11" si="3">D11</f>
        <v>78876</v>
      </c>
      <c r="F11" s="110">
        <f t="shared" si="3"/>
        <v>78876</v>
      </c>
      <c r="G11" s="110">
        <f t="shared" si="3"/>
        <v>78876</v>
      </c>
      <c r="H11" s="110">
        <f t="shared" si="3"/>
        <v>78876</v>
      </c>
      <c r="I11" s="110">
        <f t="shared" si="3"/>
        <v>78876</v>
      </c>
      <c r="J11" s="110">
        <f t="shared" si="3"/>
        <v>78876</v>
      </c>
      <c r="K11" s="110">
        <f t="shared" si="3"/>
        <v>78876</v>
      </c>
      <c r="L11" s="118">
        <f t="shared" si="3"/>
        <v>78876</v>
      </c>
    </row>
    <row r="12" spans="2:15" ht="28.5" customHeight="1" x14ac:dyDescent="0.35">
      <c r="B12" s="117" t="s">
        <v>122</v>
      </c>
      <c r="C12" s="113">
        <f>'DECISIÓN DE COMPRA'!H18+'DECISIÓN DE COMPRA'!I11+'DATOS INICIALES'!H20+'DATOS INICIALES'!H21+'DATOS INICIALES'!H22+'DATOS INICIALES'!H23+'DATOS INICIALES'!H24</f>
        <v>263650</v>
      </c>
      <c r="D12" s="113">
        <v>0</v>
      </c>
      <c r="E12" s="113">
        <f>15000+'DATOS INICIALES'!H20+'DATOS INICIALES'!H21+'DATOS INICIALES'!H22+'DATOS INICIALES'!H23+'DATOS INICIALES'!H24</f>
        <v>68650</v>
      </c>
      <c r="F12" s="113">
        <v>0</v>
      </c>
      <c r="G12" s="113">
        <f>E12</f>
        <v>68650</v>
      </c>
      <c r="H12" s="113">
        <v>0</v>
      </c>
      <c r="I12" s="113">
        <f>G12</f>
        <v>68650</v>
      </c>
      <c r="J12" s="113">
        <v>0</v>
      </c>
      <c r="K12" s="113">
        <f>I12</f>
        <v>68650</v>
      </c>
      <c r="L12" s="119">
        <v>0</v>
      </c>
    </row>
    <row r="13" spans="2:15" ht="29" x14ac:dyDescent="0.35">
      <c r="B13" s="120" t="s">
        <v>123</v>
      </c>
      <c r="C13" s="113">
        <f>(C12+C11)-'DECISIÓN DE COMPRA'!C2</f>
        <v>142526</v>
      </c>
      <c r="D13" s="113">
        <v>0</v>
      </c>
      <c r="E13" s="113">
        <v>0</v>
      </c>
      <c r="F13" s="113">
        <v>0</v>
      </c>
      <c r="G13" s="113">
        <v>0</v>
      </c>
      <c r="H13" s="113">
        <v>0</v>
      </c>
      <c r="I13" s="113">
        <v>0</v>
      </c>
      <c r="J13" s="113">
        <v>0</v>
      </c>
      <c r="K13" s="113">
        <v>0</v>
      </c>
      <c r="L13" s="119">
        <v>0</v>
      </c>
    </row>
    <row r="14" spans="2:15" ht="29" x14ac:dyDescent="0.35">
      <c r="B14" s="117" t="s">
        <v>125</v>
      </c>
      <c r="C14" s="113">
        <f>(275000)</f>
        <v>275000</v>
      </c>
      <c r="D14" s="113">
        <v>0</v>
      </c>
      <c r="E14" s="113">
        <v>0</v>
      </c>
      <c r="F14" s="113">
        <v>0</v>
      </c>
      <c r="G14" s="113">
        <v>0</v>
      </c>
      <c r="H14" s="113">
        <v>0</v>
      </c>
      <c r="I14" s="113">
        <v>0</v>
      </c>
      <c r="J14" s="113">
        <v>0</v>
      </c>
      <c r="K14" s="113">
        <v>0</v>
      </c>
      <c r="L14" s="119">
        <v>0</v>
      </c>
    </row>
    <row r="15" spans="2:15" ht="29" x14ac:dyDescent="0.35">
      <c r="B15" s="117" t="s">
        <v>124</v>
      </c>
      <c r="C15" s="111">
        <v>0</v>
      </c>
      <c r="D15" s="113">
        <v>0</v>
      </c>
      <c r="E15" s="113">
        <f>'AMORTIZACIÓN DEL PAGO'!F3</f>
        <v>28404.799999999999</v>
      </c>
      <c r="F15" s="113">
        <v>0</v>
      </c>
      <c r="G15" s="113">
        <f>E15</f>
        <v>28404.799999999999</v>
      </c>
      <c r="H15" s="113">
        <v>0</v>
      </c>
      <c r="I15" s="113">
        <f>G15</f>
        <v>28404.799999999999</v>
      </c>
      <c r="J15" s="113">
        <v>0</v>
      </c>
      <c r="K15" s="113">
        <f>I15</f>
        <v>28404.799999999999</v>
      </c>
      <c r="L15" s="119">
        <v>0</v>
      </c>
    </row>
    <row r="16" spans="2:15" ht="29" x14ac:dyDescent="0.35">
      <c r="B16" s="121" t="s">
        <v>132</v>
      </c>
      <c r="C16" s="111">
        <v>0</v>
      </c>
      <c r="D16" s="113">
        <f>(F4*H4)*O4</f>
        <v>88020</v>
      </c>
      <c r="E16" s="113">
        <v>0</v>
      </c>
      <c r="F16" s="113">
        <f>(F4*H4)*8</f>
        <v>176040</v>
      </c>
      <c r="G16" s="113">
        <v>0</v>
      </c>
      <c r="H16" s="113">
        <f>F16</f>
        <v>176040</v>
      </c>
      <c r="I16" s="113">
        <v>0</v>
      </c>
      <c r="J16" s="113">
        <f>H16</f>
        <v>176040</v>
      </c>
      <c r="K16" s="113">
        <v>0</v>
      </c>
      <c r="L16" s="119">
        <f>J16</f>
        <v>176040</v>
      </c>
    </row>
    <row r="17" spans="2:14" ht="29.5" thickBot="1" x14ac:dyDescent="0.4">
      <c r="B17" s="122" t="s">
        <v>133</v>
      </c>
      <c r="C17" s="123">
        <f>C16-C12-C11+C14+'DECISIÓN DE COMPRA'!C2</f>
        <v>132474</v>
      </c>
      <c r="D17" s="123">
        <f>C17+D16-D11-D15-D12</f>
        <v>141618</v>
      </c>
      <c r="E17" s="123">
        <f>D17-E15-E12+E16-E11</f>
        <v>-34312.800000000003</v>
      </c>
      <c r="F17" s="123">
        <f>E17+F16-F11</f>
        <v>62851.200000000012</v>
      </c>
      <c r="G17" s="123">
        <f>F17-G11-G12-G15</f>
        <v>-113079.59999999999</v>
      </c>
      <c r="H17" s="123">
        <f>G17+H16-H11</f>
        <v>-15915.599999999991</v>
      </c>
      <c r="I17" s="123">
        <f>H17-I15-I12-I11+I16</f>
        <v>-191846.39999999999</v>
      </c>
      <c r="J17" s="123">
        <f>I17-J15-J12-J11+J16</f>
        <v>-94682.400000000023</v>
      </c>
      <c r="K17" s="123">
        <f>J17-K15-K12-K11+K16</f>
        <v>-270613.2</v>
      </c>
      <c r="L17" s="124">
        <f>K17-L15-L12-L11+L16</f>
        <v>-173449.2</v>
      </c>
    </row>
    <row r="18" spans="2:14" ht="15" thickBot="1" x14ac:dyDescent="0.4"/>
    <row r="19" spans="2:14" x14ac:dyDescent="0.35">
      <c r="B19" s="114" t="s">
        <v>13</v>
      </c>
      <c r="C19" s="184" t="s">
        <v>119</v>
      </c>
      <c r="D19" s="184"/>
      <c r="E19" s="184"/>
      <c r="F19" s="184"/>
      <c r="G19" s="184"/>
      <c r="H19" s="184"/>
      <c r="I19" s="184"/>
      <c r="J19" s="184"/>
      <c r="K19" s="184"/>
      <c r="L19" s="185"/>
    </row>
    <row r="20" spans="2:14" x14ac:dyDescent="0.35">
      <c r="B20" s="115" t="s">
        <v>120</v>
      </c>
      <c r="C20" s="112">
        <v>1</v>
      </c>
      <c r="D20" s="112">
        <v>2</v>
      </c>
      <c r="E20" s="112">
        <v>3</v>
      </c>
      <c r="F20" s="112">
        <v>4</v>
      </c>
      <c r="G20" s="112">
        <v>5</v>
      </c>
      <c r="H20" s="112">
        <v>6</v>
      </c>
      <c r="I20" s="112">
        <v>7</v>
      </c>
      <c r="J20" s="112">
        <v>8</v>
      </c>
      <c r="K20" s="112">
        <v>9</v>
      </c>
      <c r="L20" s="116">
        <v>10</v>
      </c>
    </row>
    <row r="21" spans="2:14" ht="29" x14ac:dyDescent="0.35">
      <c r="B21" s="117" t="s">
        <v>121</v>
      </c>
      <c r="C21" s="110">
        <f>'PROYECCIÓN DE VENTAS '!AL8</f>
        <v>13970</v>
      </c>
      <c r="D21" s="110">
        <f>C21</f>
        <v>13970</v>
      </c>
      <c r="E21" s="110">
        <f t="shared" ref="E21:L21" si="4">D21</f>
        <v>13970</v>
      </c>
      <c r="F21" s="110">
        <f t="shared" si="4"/>
        <v>13970</v>
      </c>
      <c r="G21" s="110">
        <f t="shared" si="4"/>
        <v>13970</v>
      </c>
      <c r="H21" s="110">
        <f t="shared" si="4"/>
        <v>13970</v>
      </c>
      <c r="I21" s="110">
        <f t="shared" si="4"/>
        <v>13970</v>
      </c>
      <c r="J21" s="110">
        <f t="shared" si="4"/>
        <v>13970</v>
      </c>
      <c r="K21" s="110">
        <f t="shared" si="4"/>
        <v>13970</v>
      </c>
      <c r="L21" s="118">
        <f t="shared" si="4"/>
        <v>13970</v>
      </c>
      <c r="N21" s="67"/>
    </row>
    <row r="22" spans="2:14" ht="29" x14ac:dyDescent="0.35">
      <c r="B22" s="117" t="s">
        <v>122</v>
      </c>
      <c r="C22" s="113">
        <f>210000+'DATOS INICIALES'!H20+'DATOS INICIALES'!H21+'DATOS INICIALES'!H22+'DATOS INICIALES'!H23+'DATOS INICIALES'!H24</f>
        <v>263650</v>
      </c>
      <c r="D22" s="113">
        <v>0</v>
      </c>
      <c r="E22" s="113">
        <f>E12</f>
        <v>68650</v>
      </c>
      <c r="F22" s="113">
        <v>0</v>
      </c>
      <c r="G22" s="113">
        <f>E22</f>
        <v>68650</v>
      </c>
      <c r="H22" s="113">
        <v>0</v>
      </c>
      <c r="I22" s="113">
        <f>G22</f>
        <v>68650</v>
      </c>
      <c r="J22" s="113">
        <v>0</v>
      </c>
      <c r="K22" s="113">
        <f>I22</f>
        <v>68650</v>
      </c>
      <c r="L22" s="119">
        <v>0</v>
      </c>
    </row>
    <row r="23" spans="2:14" ht="29" x14ac:dyDescent="0.35">
      <c r="B23" s="120" t="s">
        <v>123</v>
      </c>
      <c r="C23" s="113">
        <f>(C22+C21)-'DECISIÓN DE COMPRA'!C2</f>
        <v>77620</v>
      </c>
      <c r="D23" s="113">
        <v>0</v>
      </c>
      <c r="E23" s="113">
        <v>0</v>
      </c>
      <c r="F23" s="113">
        <v>0</v>
      </c>
      <c r="G23" s="113">
        <v>0</v>
      </c>
      <c r="H23" s="113">
        <v>0</v>
      </c>
      <c r="I23" s="113">
        <v>0</v>
      </c>
      <c r="J23" s="113">
        <v>0</v>
      </c>
      <c r="K23" s="113">
        <v>0</v>
      </c>
      <c r="L23" s="119">
        <v>0</v>
      </c>
    </row>
    <row r="24" spans="2:14" ht="29" x14ac:dyDescent="0.35">
      <c r="B24" s="117" t="s">
        <v>125</v>
      </c>
      <c r="C24" s="113">
        <f>(C23+50000)*1.08</f>
        <v>137829.6</v>
      </c>
      <c r="D24" s="113">
        <v>0</v>
      </c>
      <c r="E24" s="113">
        <v>0</v>
      </c>
      <c r="F24" s="113">
        <v>0</v>
      </c>
      <c r="G24" s="113">
        <v>0</v>
      </c>
      <c r="H24" s="113">
        <v>0</v>
      </c>
      <c r="I24" s="113">
        <v>0</v>
      </c>
      <c r="J24" s="113">
        <v>0</v>
      </c>
      <c r="K24" s="113">
        <v>0</v>
      </c>
      <c r="L24" s="119">
        <v>0</v>
      </c>
    </row>
    <row r="25" spans="2:14" ht="29" x14ac:dyDescent="0.35">
      <c r="B25" s="117" t="s">
        <v>124</v>
      </c>
      <c r="C25" s="111">
        <v>0</v>
      </c>
      <c r="D25" s="113">
        <v>0</v>
      </c>
      <c r="E25" s="113">
        <f>'AMORTIZACIÓN DEL PAGO'!O3</f>
        <v>13182</v>
      </c>
      <c r="F25" s="113">
        <v>0</v>
      </c>
      <c r="G25" s="113">
        <f>E25</f>
        <v>13182</v>
      </c>
      <c r="H25" s="113">
        <v>0</v>
      </c>
      <c r="I25" s="113">
        <f>G25</f>
        <v>13182</v>
      </c>
      <c r="J25" s="113">
        <v>0</v>
      </c>
      <c r="K25" s="113">
        <f>I25</f>
        <v>13182</v>
      </c>
      <c r="L25" s="119">
        <v>0</v>
      </c>
    </row>
    <row r="26" spans="2:14" ht="29" x14ac:dyDescent="0.35">
      <c r="B26" s="121" t="s">
        <v>132</v>
      </c>
      <c r="C26" s="111">
        <v>0</v>
      </c>
      <c r="D26" s="113">
        <f>(F5*H5)*O5</f>
        <v>63180</v>
      </c>
      <c r="E26" s="113">
        <v>0</v>
      </c>
      <c r="F26" s="113">
        <f>(F5*H5)*N5</f>
        <v>126360</v>
      </c>
      <c r="G26" s="113">
        <v>0</v>
      </c>
      <c r="H26" s="113">
        <f>F26</f>
        <v>126360</v>
      </c>
      <c r="I26" s="113">
        <v>0</v>
      </c>
      <c r="J26" s="113">
        <f>H26</f>
        <v>126360</v>
      </c>
      <c r="K26" s="113">
        <v>0</v>
      </c>
      <c r="L26" s="119">
        <f>J26</f>
        <v>126360</v>
      </c>
      <c r="N26" t="s">
        <v>135</v>
      </c>
    </row>
    <row r="27" spans="2:14" ht="29.5" thickBot="1" x14ac:dyDescent="0.4">
      <c r="B27" s="122" t="s">
        <v>133</v>
      </c>
      <c r="C27" s="123">
        <f>'DECISIÓN DE COMPRA'!C2+'PROYECCIÓN FINANCIERA'!C26-'PROYECCIÓN FINANCIERA'!C22-'PROYECCIÓN FINANCIERA'!C21+117620+5000+5000</f>
        <v>50000</v>
      </c>
      <c r="D27" s="123">
        <f>C27+D26-C21</f>
        <v>99210</v>
      </c>
      <c r="E27" s="123">
        <f>E26+D27-E21-E22-E25</f>
        <v>3408</v>
      </c>
      <c r="F27" s="123">
        <f t="shared" ref="F27:L27" si="5">F26+E27-F21-F22-F25</f>
        <v>115798</v>
      </c>
      <c r="G27" s="123">
        <f t="shared" si="5"/>
        <v>19996</v>
      </c>
      <c r="H27" s="123">
        <f t="shared" si="5"/>
        <v>132386</v>
      </c>
      <c r="I27" s="123">
        <f t="shared" si="5"/>
        <v>36584</v>
      </c>
      <c r="J27" s="123">
        <f t="shared" si="5"/>
        <v>148974</v>
      </c>
      <c r="K27" s="123">
        <f t="shared" si="5"/>
        <v>53172</v>
      </c>
      <c r="L27" s="124">
        <f t="shared" si="5"/>
        <v>165562</v>
      </c>
    </row>
    <row r="28" spans="2:14" ht="15" thickBot="1" x14ac:dyDescent="0.4"/>
    <row r="29" spans="2:14" x14ac:dyDescent="0.35">
      <c r="B29" s="114" t="s">
        <v>14</v>
      </c>
      <c r="C29" s="184" t="s">
        <v>119</v>
      </c>
      <c r="D29" s="184"/>
      <c r="E29" s="184"/>
      <c r="F29" s="184"/>
      <c r="G29" s="184"/>
      <c r="H29" s="184"/>
      <c r="I29" s="184"/>
      <c r="J29" s="184"/>
      <c r="K29" s="184"/>
      <c r="L29" s="185"/>
    </row>
    <row r="30" spans="2:14" x14ac:dyDescent="0.35">
      <c r="B30" s="115" t="s">
        <v>120</v>
      </c>
      <c r="C30" s="112">
        <v>1</v>
      </c>
      <c r="D30" s="112">
        <v>2</v>
      </c>
      <c r="E30" s="112">
        <v>3</v>
      </c>
      <c r="F30" s="112">
        <v>4</v>
      </c>
      <c r="G30" s="112">
        <v>5</v>
      </c>
      <c r="H30" s="112">
        <v>6</v>
      </c>
      <c r="I30" s="112">
        <v>7</v>
      </c>
      <c r="J30" s="112">
        <v>8</v>
      </c>
      <c r="K30" s="112">
        <v>9</v>
      </c>
      <c r="L30" s="116">
        <v>10</v>
      </c>
    </row>
    <row r="31" spans="2:14" ht="29" x14ac:dyDescent="0.35">
      <c r="B31" s="117" t="s">
        <v>121</v>
      </c>
      <c r="C31" s="110">
        <f>'PROYECCIÓN DE VENTAS '!AL9</f>
        <v>53110</v>
      </c>
      <c r="D31" s="110">
        <f>C31</f>
        <v>53110</v>
      </c>
      <c r="E31" s="110">
        <f t="shared" ref="E31:L31" si="6">D31</f>
        <v>53110</v>
      </c>
      <c r="F31" s="110">
        <f t="shared" si="6"/>
        <v>53110</v>
      </c>
      <c r="G31" s="110">
        <f t="shared" si="6"/>
        <v>53110</v>
      </c>
      <c r="H31" s="110">
        <f t="shared" si="6"/>
        <v>53110</v>
      </c>
      <c r="I31" s="110">
        <f t="shared" si="6"/>
        <v>53110</v>
      </c>
      <c r="J31" s="110">
        <f t="shared" si="6"/>
        <v>53110</v>
      </c>
      <c r="K31" s="110">
        <f t="shared" si="6"/>
        <v>53110</v>
      </c>
      <c r="L31" s="118">
        <f t="shared" si="6"/>
        <v>53110</v>
      </c>
    </row>
    <row r="32" spans="2:14" ht="29" x14ac:dyDescent="0.35">
      <c r="B32" s="117" t="s">
        <v>122</v>
      </c>
      <c r="C32" s="113">
        <f>210000+'DATOS INICIALES'!H20+'DATOS INICIALES'!H21+'DATOS INICIALES'!H22+'DATOS INICIALES'!H23+'DATOS INICIALES'!H24</f>
        <v>263650</v>
      </c>
      <c r="D32" s="113">
        <v>0</v>
      </c>
      <c r="E32" s="113">
        <f>E22</f>
        <v>68650</v>
      </c>
      <c r="F32" s="113">
        <v>0</v>
      </c>
      <c r="G32" s="113">
        <f>E32</f>
        <v>68650</v>
      </c>
      <c r="H32" s="113">
        <v>0</v>
      </c>
      <c r="I32" s="113">
        <f>G32</f>
        <v>68650</v>
      </c>
      <c r="J32" s="113">
        <v>0</v>
      </c>
      <c r="K32" s="113">
        <f>I32</f>
        <v>68650</v>
      </c>
      <c r="L32" s="119">
        <v>0</v>
      </c>
    </row>
    <row r="33" spans="2:12" ht="29" x14ac:dyDescent="0.35">
      <c r="B33" s="120" t="s">
        <v>123</v>
      </c>
      <c r="C33" s="113">
        <f>(C32+C31)-'DECISIÓN DE COMPRA'!C2</f>
        <v>116760</v>
      </c>
      <c r="D33" s="113">
        <v>0</v>
      </c>
      <c r="E33" s="113">
        <v>0</v>
      </c>
      <c r="F33" s="113">
        <v>0</v>
      </c>
      <c r="G33" s="113">
        <v>0</v>
      </c>
      <c r="H33" s="113">
        <v>0</v>
      </c>
      <c r="I33" s="113">
        <v>0</v>
      </c>
      <c r="J33" s="113">
        <v>0</v>
      </c>
      <c r="K33" s="113">
        <v>0</v>
      </c>
      <c r="L33" s="119">
        <v>0</v>
      </c>
    </row>
    <row r="34" spans="2:12" ht="29" x14ac:dyDescent="0.35">
      <c r="B34" s="117" t="s">
        <v>125</v>
      </c>
      <c r="C34" s="113">
        <v>275000</v>
      </c>
      <c r="D34" s="113">
        <v>0</v>
      </c>
      <c r="E34" s="113">
        <v>0</v>
      </c>
      <c r="F34" s="113">
        <v>0</v>
      </c>
      <c r="G34" s="113">
        <v>0</v>
      </c>
      <c r="H34" s="113">
        <v>0</v>
      </c>
      <c r="I34" s="113">
        <v>0</v>
      </c>
      <c r="J34" s="113">
        <v>0</v>
      </c>
      <c r="K34" s="113">
        <v>0</v>
      </c>
      <c r="L34" s="119">
        <v>0</v>
      </c>
    </row>
    <row r="35" spans="2:12" ht="29" x14ac:dyDescent="0.35">
      <c r="B35" s="117" t="s">
        <v>124</v>
      </c>
      <c r="C35" s="111">
        <v>0</v>
      </c>
      <c r="D35" s="113">
        <v>0</v>
      </c>
      <c r="E35" s="113">
        <f>'AMORTIZACIÓN DEL PAGO'!X3</f>
        <v>28404.7</v>
      </c>
      <c r="F35" s="113">
        <v>0</v>
      </c>
      <c r="G35" s="113">
        <f>E35</f>
        <v>28404.7</v>
      </c>
      <c r="H35" s="113">
        <v>0</v>
      </c>
      <c r="I35" s="113">
        <f>G35</f>
        <v>28404.7</v>
      </c>
      <c r="J35" s="113">
        <v>0</v>
      </c>
      <c r="K35" s="113">
        <f>I35</f>
        <v>28404.7</v>
      </c>
      <c r="L35" s="119">
        <v>0</v>
      </c>
    </row>
    <row r="36" spans="2:12" ht="29" x14ac:dyDescent="0.35">
      <c r="B36" s="121" t="s">
        <v>132</v>
      </c>
      <c r="C36" s="111">
        <v>0</v>
      </c>
      <c r="D36" s="113">
        <f>(F6*H6)*O6</f>
        <v>82620</v>
      </c>
      <c r="E36" s="113">
        <v>0</v>
      </c>
      <c r="F36" s="113">
        <f>(F6*H6)*N6</f>
        <v>165240</v>
      </c>
      <c r="G36" s="113">
        <v>0</v>
      </c>
      <c r="H36" s="113">
        <f>F36</f>
        <v>165240</v>
      </c>
      <c r="I36" s="113">
        <v>0</v>
      </c>
      <c r="J36" s="113">
        <f>H36</f>
        <v>165240</v>
      </c>
      <c r="K36" s="113">
        <v>0</v>
      </c>
      <c r="L36" s="119">
        <f>J36</f>
        <v>165240</v>
      </c>
    </row>
    <row r="37" spans="2:12" ht="29.5" thickBot="1" x14ac:dyDescent="0.4">
      <c r="B37" s="122" t="s">
        <v>133</v>
      </c>
      <c r="C37" s="54">
        <f>'DECISIÓN DE COMPRA'!C12+'PROYECCIÓN FINANCIERA'!C36-'PROYECCIÓN FINANCIERA'!C32-'PROYECCIÓN FINANCIERA'!C31+'PROYECCIÓN FINANCIERA'!C34</f>
        <v>43240</v>
      </c>
      <c r="D37" s="123">
        <f>C37+D36-C31</f>
        <v>72750</v>
      </c>
      <c r="E37" s="123">
        <f>E36+D37-E31-E32-E35</f>
        <v>-77414.7</v>
      </c>
      <c r="F37" s="123">
        <f t="shared" ref="F37" si="7">F36+E37-F31-F32-F35</f>
        <v>34715.300000000003</v>
      </c>
      <c r="G37" s="123">
        <f t="shared" ref="G37" si="8">G36+F37-G31-G32-G35</f>
        <v>-115449.4</v>
      </c>
      <c r="H37" s="123">
        <f t="shared" ref="H37" si="9">H36+G37-H31-H32-H35</f>
        <v>-3319.3999999999942</v>
      </c>
      <c r="I37" s="123">
        <f t="shared" ref="I37" si="10">I36+H37-I31-I32-I35</f>
        <v>-153484.1</v>
      </c>
      <c r="J37" s="123">
        <f t="shared" ref="J37" si="11">J36+I37-J31-J32-J35</f>
        <v>-41354.100000000006</v>
      </c>
      <c r="K37" s="123">
        <f t="shared" ref="K37" si="12">K36+J37-K31-K32-K35</f>
        <v>-191518.80000000002</v>
      </c>
      <c r="L37" s="124">
        <f t="shared" ref="L37" si="13">L36+K37-L31-L32-L35</f>
        <v>-79388.800000000017</v>
      </c>
    </row>
  </sheetData>
  <mergeCells count="5">
    <mergeCell ref="B2:F2"/>
    <mergeCell ref="G2:L2"/>
    <mergeCell ref="C9:L9"/>
    <mergeCell ref="C19:L19"/>
    <mergeCell ref="C29:L29"/>
  </mergeCells>
  <pageMargins left="0.7" right="0.7" top="0.75" bottom="0.75" header="0.3" footer="0.3"/>
  <ignoredErrors>
    <ignoredError sqref="G17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AA26"/>
  <sheetViews>
    <sheetView topLeftCell="A5" workbookViewId="0">
      <selection activeCell="O3" sqref="O3:O26"/>
    </sheetView>
  </sheetViews>
  <sheetFormatPr baseColWidth="10" defaultRowHeight="14.5" x14ac:dyDescent="0.35"/>
  <cols>
    <col min="1" max="1" width="6.453125" customWidth="1"/>
    <col min="2" max="2" width="6.1796875" customWidth="1"/>
    <col min="3" max="3" width="13.7265625" bestFit="1" customWidth="1"/>
    <col min="4" max="4" width="11.453125" style="4"/>
    <col min="5" max="5" width="15.1796875" bestFit="1" customWidth="1"/>
    <col min="7" max="7" width="12.453125" customWidth="1"/>
    <col min="8" max="8" width="2" customWidth="1"/>
    <col min="9" max="9" width="12.7265625" customWidth="1"/>
    <col min="10" max="10" width="1.7265625" customWidth="1"/>
    <col min="12" max="12" width="14.1796875" bestFit="1" customWidth="1"/>
    <col min="14" max="14" width="15.26953125" bestFit="1" customWidth="1"/>
    <col min="16" max="16" width="14.1796875" bestFit="1" customWidth="1"/>
    <col min="17" max="17" width="1.7265625" customWidth="1"/>
    <col min="18" max="18" width="12.81640625" customWidth="1"/>
    <col min="19" max="19" width="1.81640625" customWidth="1"/>
    <col min="21" max="21" width="13.7265625" bestFit="1" customWidth="1"/>
    <col min="23" max="23" width="15.26953125" bestFit="1" customWidth="1"/>
    <col min="25" max="25" width="12.54296875" bestFit="1" customWidth="1"/>
    <col min="26" max="26" width="1.7265625" customWidth="1"/>
    <col min="27" max="27" width="13.81640625" customWidth="1"/>
  </cols>
  <sheetData>
    <row r="1" spans="2:27" x14ac:dyDescent="0.35">
      <c r="B1" s="166" t="s">
        <v>9</v>
      </c>
      <c r="C1" s="171"/>
      <c r="D1" s="171"/>
      <c r="E1" s="171"/>
      <c r="F1" s="171"/>
      <c r="G1" s="167"/>
      <c r="K1" s="166" t="s">
        <v>13</v>
      </c>
      <c r="L1" s="171"/>
      <c r="M1" s="171"/>
      <c r="N1" s="171"/>
      <c r="O1" s="171"/>
      <c r="P1" s="167"/>
      <c r="T1" s="166" t="s">
        <v>14</v>
      </c>
      <c r="U1" s="171"/>
      <c r="V1" s="171"/>
      <c r="W1" s="171"/>
      <c r="X1" s="171"/>
      <c r="Y1" s="167"/>
    </row>
    <row r="2" spans="2:27" x14ac:dyDescent="0.35">
      <c r="B2" s="125" t="s">
        <v>126</v>
      </c>
      <c r="C2" s="8" t="s">
        <v>128</v>
      </c>
      <c r="D2" s="126" t="s">
        <v>127</v>
      </c>
      <c r="E2" s="8" t="s">
        <v>129</v>
      </c>
      <c r="F2" s="8" t="s">
        <v>130</v>
      </c>
      <c r="G2" s="127" t="s">
        <v>131</v>
      </c>
      <c r="K2" s="125" t="s">
        <v>126</v>
      </c>
      <c r="L2" s="8" t="s">
        <v>128</v>
      </c>
      <c r="M2" s="126" t="s">
        <v>127</v>
      </c>
      <c r="N2" s="8" t="s">
        <v>129</v>
      </c>
      <c r="O2" s="8" t="s">
        <v>130</v>
      </c>
      <c r="P2" s="127" t="s">
        <v>131</v>
      </c>
      <c r="T2" s="125" t="s">
        <v>126</v>
      </c>
      <c r="U2" s="8" t="s">
        <v>128</v>
      </c>
      <c r="V2" s="126" t="s">
        <v>127</v>
      </c>
      <c r="W2" s="8" t="s">
        <v>129</v>
      </c>
      <c r="X2" s="8" t="s">
        <v>130</v>
      </c>
      <c r="Y2" s="127" t="s">
        <v>131</v>
      </c>
    </row>
    <row r="3" spans="2:27" x14ac:dyDescent="0.35">
      <c r="B3" s="20">
        <v>1</v>
      </c>
      <c r="C3" s="47">
        <f>'PROYECCIÓN FINANCIERA'!C14*1.08</f>
        <v>297000</v>
      </c>
      <c r="D3" s="29">
        <f>C3*(0.97/12)</f>
        <v>24007.499999999996</v>
      </c>
      <c r="E3" s="47">
        <f>C3+D3</f>
        <v>321007.5</v>
      </c>
      <c r="F3" s="47">
        <v>28404.799999999999</v>
      </c>
      <c r="G3" s="49">
        <f>E3-F3</f>
        <v>292602.7</v>
      </c>
      <c r="I3" s="128">
        <f>G26</f>
        <v>-3.1401934095774777</v>
      </c>
      <c r="K3" s="20">
        <v>1</v>
      </c>
      <c r="L3" s="47">
        <f>'PROYECCIÓN FINANCIERA'!C24</f>
        <v>137829.6</v>
      </c>
      <c r="M3" s="29">
        <f>L3*(0.97/12)</f>
        <v>11141.225999999999</v>
      </c>
      <c r="N3" s="47">
        <f>L3+M3</f>
        <v>148970.826</v>
      </c>
      <c r="O3" s="47">
        <v>13182</v>
      </c>
      <c r="P3" s="49">
        <f>N3-O3</f>
        <v>135788.826</v>
      </c>
      <c r="R3" s="128">
        <f>P26</f>
        <v>-8.6840436328166106</v>
      </c>
      <c r="T3" s="20">
        <v>1</v>
      </c>
      <c r="U3" s="47">
        <f>'PROYECCIÓN FINANCIERA'!C34*1.08</f>
        <v>297000</v>
      </c>
      <c r="V3" s="29">
        <f>U3*(0.97/12)</f>
        <v>24007.499999999996</v>
      </c>
      <c r="W3" s="47">
        <f>U3+V3</f>
        <v>321007.5</v>
      </c>
      <c r="X3" s="47">
        <v>28404.7</v>
      </c>
      <c r="Y3" s="49">
        <f>W3-X3</f>
        <v>292602.8</v>
      </c>
      <c r="AA3" s="128">
        <f>Y26</f>
        <v>3.614022589797969</v>
      </c>
    </row>
    <row r="4" spans="2:27" x14ac:dyDescent="0.35">
      <c r="B4" s="20">
        <v>2</v>
      </c>
      <c r="C4" s="47">
        <f>G3</f>
        <v>292602.7</v>
      </c>
      <c r="D4" s="29">
        <f t="shared" ref="D4:D26" si="0">C4*(0.97/12)</f>
        <v>23652.051583333334</v>
      </c>
      <c r="E4" s="47">
        <f t="shared" ref="E4:E26" si="1">C4+D4</f>
        <v>316254.75158333336</v>
      </c>
      <c r="F4" s="47">
        <f>F3</f>
        <v>28404.799999999999</v>
      </c>
      <c r="G4" s="49">
        <f t="shared" ref="G4:G26" si="2">E4-F4</f>
        <v>287849.95158333337</v>
      </c>
      <c r="K4" s="20">
        <v>2</v>
      </c>
      <c r="L4" s="47">
        <f>P3</f>
        <v>135788.826</v>
      </c>
      <c r="M4" s="29">
        <f t="shared" ref="M4:M26" si="3">L4*(0.97/12)</f>
        <v>10976.263434999999</v>
      </c>
      <c r="N4" s="47">
        <f t="shared" ref="N4:N26" si="4">L4+M4</f>
        <v>146765.089435</v>
      </c>
      <c r="O4" s="47">
        <f>O3</f>
        <v>13182</v>
      </c>
      <c r="P4" s="49">
        <f t="shared" ref="P4:P26" si="5">N4-O4</f>
        <v>133583.089435</v>
      </c>
      <c r="T4" s="20">
        <v>2</v>
      </c>
      <c r="U4" s="47">
        <f>Y3</f>
        <v>292602.8</v>
      </c>
      <c r="V4" s="29">
        <f t="shared" ref="V4:V26" si="6">U4*(0.97/12)</f>
        <v>23652.059666666664</v>
      </c>
      <c r="W4" s="47">
        <f t="shared" ref="W4:W26" si="7">U4+V4</f>
        <v>316254.85966666666</v>
      </c>
      <c r="X4" s="47">
        <f>X3</f>
        <v>28404.7</v>
      </c>
      <c r="Y4" s="49">
        <f t="shared" ref="Y4:Y26" si="8">W4-X4</f>
        <v>287850.15966666664</v>
      </c>
    </row>
    <row r="5" spans="2:27" x14ac:dyDescent="0.35">
      <c r="B5" s="20">
        <v>3</v>
      </c>
      <c r="C5" s="47">
        <f t="shared" ref="C5:C26" si="9">G4</f>
        <v>287849.95158333337</v>
      </c>
      <c r="D5" s="29">
        <f t="shared" si="0"/>
        <v>23267.871086319446</v>
      </c>
      <c r="E5" s="47">
        <f t="shared" si="1"/>
        <v>311117.82266965281</v>
      </c>
      <c r="F5" s="47">
        <f t="shared" ref="F5:F26" si="10">F4</f>
        <v>28404.799999999999</v>
      </c>
      <c r="G5" s="49">
        <f t="shared" si="2"/>
        <v>282713.02266965283</v>
      </c>
      <c r="K5" s="20">
        <v>3</v>
      </c>
      <c r="L5" s="47">
        <f t="shared" ref="L5:L26" si="11">P4</f>
        <v>133583.089435</v>
      </c>
      <c r="M5" s="29">
        <f t="shared" si="3"/>
        <v>10797.966395995832</v>
      </c>
      <c r="N5" s="47">
        <f t="shared" si="4"/>
        <v>144381.05583099584</v>
      </c>
      <c r="O5" s="47">
        <f t="shared" ref="O5:O26" si="12">O4</f>
        <v>13182</v>
      </c>
      <c r="P5" s="49">
        <f t="shared" si="5"/>
        <v>131199.05583099584</v>
      </c>
      <c r="T5" s="20">
        <v>3</v>
      </c>
      <c r="U5" s="47">
        <f t="shared" ref="U5:U26" si="13">Y4</f>
        <v>287850.15966666664</v>
      </c>
      <c r="V5" s="29">
        <f t="shared" si="6"/>
        <v>23267.887906388885</v>
      </c>
      <c r="W5" s="47">
        <f t="shared" si="7"/>
        <v>311118.04757305555</v>
      </c>
      <c r="X5" s="47">
        <f t="shared" ref="X5:X26" si="14">X4</f>
        <v>28404.7</v>
      </c>
      <c r="Y5" s="49">
        <f t="shared" si="8"/>
        <v>282713.34757305554</v>
      </c>
    </row>
    <row r="6" spans="2:27" x14ac:dyDescent="0.35">
      <c r="B6" s="20">
        <v>4</v>
      </c>
      <c r="C6" s="47">
        <f t="shared" si="9"/>
        <v>282713.02266965283</v>
      </c>
      <c r="D6" s="29">
        <f t="shared" si="0"/>
        <v>22852.635999130267</v>
      </c>
      <c r="E6" s="47">
        <f t="shared" si="1"/>
        <v>305565.65866878309</v>
      </c>
      <c r="F6" s="47">
        <f t="shared" si="10"/>
        <v>28404.799999999999</v>
      </c>
      <c r="G6" s="49">
        <f t="shared" si="2"/>
        <v>277160.8586687831</v>
      </c>
      <c r="K6" s="20">
        <v>4</v>
      </c>
      <c r="L6" s="47">
        <f t="shared" si="11"/>
        <v>131199.05583099584</v>
      </c>
      <c r="M6" s="29">
        <f t="shared" si="3"/>
        <v>10605.257013005496</v>
      </c>
      <c r="N6" s="47">
        <f t="shared" si="4"/>
        <v>141804.31284400134</v>
      </c>
      <c r="O6" s="47">
        <f t="shared" si="12"/>
        <v>13182</v>
      </c>
      <c r="P6" s="49">
        <f t="shared" si="5"/>
        <v>128622.31284400134</v>
      </c>
      <c r="T6" s="20">
        <v>4</v>
      </c>
      <c r="U6" s="47">
        <f t="shared" si="13"/>
        <v>282713.34757305554</v>
      </c>
      <c r="V6" s="29">
        <f t="shared" si="6"/>
        <v>22852.662262155322</v>
      </c>
      <c r="W6" s="47">
        <f t="shared" si="7"/>
        <v>305566.00983521086</v>
      </c>
      <c r="X6" s="47">
        <f t="shared" si="14"/>
        <v>28404.7</v>
      </c>
      <c r="Y6" s="49">
        <f t="shared" si="8"/>
        <v>277161.30983521085</v>
      </c>
    </row>
    <row r="7" spans="2:27" x14ac:dyDescent="0.35">
      <c r="B7" s="20">
        <v>5</v>
      </c>
      <c r="C7" s="47">
        <f t="shared" si="9"/>
        <v>277160.8586687831</v>
      </c>
      <c r="D7" s="29">
        <f t="shared" si="0"/>
        <v>22403.836075726631</v>
      </c>
      <c r="E7" s="47">
        <f t="shared" si="1"/>
        <v>299564.6947445097</v>
      </c>
      <c r="F7" s="47">
        <f t="shared" si="10"/>
        <v>28404.799999999999</v>
      </c>
      <c r="G7" s="49">
        <f t="shared" si="2"/>
        <v>271159.89474450971</v>
      </c>
      <c r="K7" s="20">
        <v>5</v>
      </c>
      <c r="L7" s="47">
        <f t="shared" si="11"/>
        <v>128622.31284400134</v>
      </c>
      <c r="M7" s="29">
        <f t="shared" si="3"/>
        <v>10396.970288223441</v>
      </c>
      <c r="N7" s="47">
        <f t="shared" si="4"/>
        <v>139019.28313222478</v>
      </c>
      <c r="O7" s="47">
        <f t="shared" si="12"/>
        <v>13182</v>
      </c>
      <c r="P7" s="49">
        <f t="shared" si="5"/>
        <v>125837.28313222478</v>
      </c>
      <c r="T7" s="20">
        <v>5</v>
      </c>
      <c r="U7" s="47">
        <f t="shared" si="13"/>
        <v>277161.30983521085</v>
      </c>
      <c r="V7" s="29">
        <f t="shared" si="6"/>
        <v>22403.872545012877</v>
      </c>
      <c r="W7" s="47">
        <f t="shared" si="7"/>
        <v>299565.1823802237</v>
      </c>
      <c r="X7" s="47">
        <f t="shared" si="14"/>
        <v>28404.7</v>
      </c>
      <c r="Y7" s="49">
        <f t="shared" si="8"/>
        <v>271160.48238022369</v>
      </c>
    </row>
    <row r="8" spans="2:27" x14ac:dyDescent="0.35">
      <c r="B8" s="20">
        <v>6</v>
      </c>
      <c r="C8" s="47">
        <f t="shared" si="9"/>
        <v>271159.89474450971</v>
      </c>
      <c r="D8" s="29">
        <f t="shared" si="0"/>
        <v>21918.758158514534</v>
      </c>
      <c r="E8" s="47">
        <f t="shared" si="1"/>
        <v>293078.65290302422</v>
      </c>
      <c r="F8" s="47">
        <f t="shared" si="10"/>
        <v>28404.799999999999</v>
      </c>
      <c r="G8" s="49">
        <f t="shared" si="2"/>
        <v>264673.85290302424</v>
      </c>
      <c r="K8" s="20">
        <v>6</v>
      </c>
      <c r="L8" s="47">
        <f t="shared" si="11"/>
        <v>125837.28313222478</v>
      </c>
      <c r="M8" s="29">
        <f t="shared" si="3"/>
        <v>10171.847053188169</v>
      </c>
      <c r="N8" s="47">
        <f t="shared" si="4"/>
        <v>136009.13018541294</v>
      </c>
      <c r="O8" s="47">
        <f t="shared" si="12"/>
        <v>13182</v>
      </c>
      <c r="P8" s="49">
        <f t="shared" si="5"/>
        <v>122827.13018541294</v>
      </c>
      <c r="T8" s="20">
        <v>6</v>
      </c>
      <c r="U8" s="47">
        <f t="shared" si="13"/>
        <v>271160.48238022369</v>
      </c>
      <c r="V8" s="29">
        <f t="shared" si="6"/>
        <v>21918.805659068079</v>
      </c>
      <c r="W8" s="47">
        <f t="shared" si="7"/>
        <v>293079.28803929174</v>
      </c>
      <c r="X8" s="47">
        <f t="shared" si="14"/>
        <v>28404.7</v>
      </c>
      <c r="Y8" s="49">
        <f t="shared" si="8"/>
        <v>264674.58803929173</v>
      </c>
    </row>
    <row r="9" spans="2:27" x14ac:dyDescent="0.35">
      <c r="B9" s="20">
        <v>7</v>
      </c>
      <c r="C9" s="47">
        <f t="shared" si="9"/>
        <v>264673.85290302424</v>
      </c>
      <c r="D9" s="29">
        <f t="shared" si="0"/>
        <v>21394.469776327791</v>
      </c>
      <c r="E9" s="47">
        <f t="shared" si="1"/>
        <v>286068.32267935202</v>
      </c>
      <c r="F9" s="47">
        <f t="shared" si="10"/>
        <v>28404.799999999999</v>
      </c>
      <c r="G9" s="49">
        <f t="shared" si="2"/>
        <v>257663.52267935203</v>
      </c>
      <c r="K9" s="20">
        <v>7</v>
      </c>
      <c r="L9" s="47">
        <f t="shared" si="11"/>
        <v>122827.13018541294</v>
      </c>
      <c r="M9" s="29">
        <f t="shared" si="3"/>
        <v>9928.5263566542126</v>
      </c>
      <c r="N9" s="47">
        <f t="shared" si="4"/>
        <v>132755.65654206715</v>
      </c>
      <c r="O9" s="47">
        <f t="shared" si="12"/>
        <v>13182</v>
      </c>
      <c r="P9" s="49">
        <f t="shared" si="5"/>
        <v>119573.65654206715</v>
      </c>
      <c r="T9" s="20">
        <v>7</v>
      </c>
      <c r="U9" s="47">
        <f t="shared" si="13"/>
        <v>264674.58803929173</v>
      </c>
      <c r="V9" s="29">
        <f t="shared" si="6"/>
        <v>21394.529199842746</v>
      </c>
      <c r="W9" s="47">
        <f t="shared" si="7"/>
        <v>286069.1172391345</v>
      </c>
      <c r="X9" s="47">
        <f t="shared" si="14"/>
        <v>28404.7</v>
      </c>
      <c r="Y9" s="49">
        <f t="shared" si="8"/>
        <v>257664.41723913449</v>
      </c>
    </row>
    <row r="10" spans="2:27" x14ac:dyDescent="0.35">
      <c r="B10" s="20">
        <v>8</v>
      </c>
      <c r="C10" s="47">
        <f t="shared" si="9"/>
        <v>257663.52267935203</v>
      </c>
      <c r="D10" s="29">
        <f t="shared" si="0"/>
        <v>20827.801416580955</v>
      </c>
      <c r="E10" s="47">
        <f t="shared" si="1"/>
        <v>278491.324095933</v>
      </c>
      <c r="F10" s="47">
        <f t="shared" si="10"/>
        <v>28404.799999999999</v>
      </c>
      <c r="G10" s="49">
        <f t="shared" si="2"/>
        <v>250086.52409593301</v>
      </c>
      <c r="K10" s="20">
        <v>8</v>
      </c>
      <c r="L10" s="47">
        <f t="shared" si="11"/>
        <v>119573.65654206715</v>
      </c>
      <c r="M10" s="29">
        <f t="shared" si="3"/>
        <v>9665.5372371504272</v>
      </c>
      <c r="N10" s="47">
        <f t="shared" si="4"/>
        <v>129239.19377921757</v>
      </c>
      <c r="O10" s="47">
        <f t="shared" si="12"/>
        <v>13182</v>
      </c>
      <c r="P10" s="49">
        <f t="shared" si="5"/>
        <v>116057.19377921757</v>
      </c>
      <c r="T10" s="20">
        <v>8</v>
      </c>
      <c r="U10" s="47">
        <f t="shared" si="13"/>
        <v>257664.41723913449</v>
      </c>
      <c r="V10" s="29">
        <f t="shared" si="6"/>
        <v>20827.873726830036</v>
      </c>
      <c r="W10" s="47">
        <f t="shared" si="7"/>
        <v>278492.29096596455</v>
      </c>
      <c r="X10" s="47">
        <f t="shared" si="14"/>
        <v>28404.7</v>
      </c>
      <c r="Y10" s="49">
        <f t="shared" si="8"/>
        <v>250087.59096596454</v>
      </c>
    </row>
    <row r="11" spans="2:27" x14ac:dyDescent="0.35">
      <c r="B11" s="20">
        <v>9</v>
      </c>
      <c r="C11" s="47">
        <f t="shared" si="9"/>
        <v>250086.52409593301</v>
      </c>
      <c r="D11" s="29">
        <f t="shared" si="0"/>
        <v>20215.32736442125</v>
      </c>
      <c r="E11" s="47">
        <f t="shared" si="1"/>
        <v>270301.85146035429</v>
      </c>
      <c r="F11" s="47">
        <f t="shared" si="10"/>
        <v>28404.799999999999</v>
      </c>
      <c r="G11" s="49">
        <f t="shared" si="2"/>
        <v>241897.0514603543</v>
      </c>
      <c r="K11" s="20">
        <v>9</v>
      </c>
      <c r="L11" s="47">
        <f t="shared" si="11"/>
        <v>116057.19377921757</v>
      </c>
      <c r="M11" s="29">
        <f t="shared" si="3"/>
        <v>9381.289830486754</v>
      </c>
      <c r="N11" s="47">
        <f t="shared" si="4"/>
        <v>125438.48360970433</v>
      </c>
      <c r="O11" s="47">
        <f t="shared" si="12"/>
        <v>13182</v>
      </c>
      <c r="P11" s="49">
        <f t="shared" si="5"/>
        <v>112256.48360970433</v>
      </c>
      <c r="T11" s="20">
        <v>9</v>
      </c>
      <c r="U11" s="47">
        <f t="shared" si="13"/>
        <v>250087.59096596454</v>
      </c>
      <c r="V11" s="29">
        <f t="shared" si="6"/>
        <v>20215.413603082132</v>
      </c>
      <c r="W11" s="47">
        <f t="shared" si="7"/>
        <v>270303.00456904666</v>
      </c>
      <c r="X11" s="47">
        <f t="shared" si="14"/>
        <v>28404.7</v>
      </c>
      <c r="Y11" s="49">
        <f t="shared" si="8"/>
        <v>241898.30456904665</v>
      </c>
    </row>
    <row r="12" spans="2:27" x14ac:dyDescent="0.35">
      <c r="B12" s="20">
        <v>10</v>
      </c>
      <c r="C12" s="47">
        <f t="shared" si="9"/>
        <v>241897.0514603543</v>
      </c>
      <c r="D12" s="29">
        <f t="shared" si="0"/>
        <v>19553.344993045303</v>
      </c>
      <c r="E12" s="47">
        <f t="shared" si="1"/>
        <v>261450.39645339959</v>
      </c>
      <c r="F12" s="47">
        <f t="shared" si="10"/>
        <v>28404.799999999999</v>
      </c>
      <c r="G12" s="49">
        <f t="shared" si="2"/>
        <v>233045.5964533996</v>
      </c>
      <c r="K12" s="20">
        <v>10</v>
      </c>
      <c r="L12" s="47">
        <f t="shared" si="11"/>
        <v>112256.48360970433</v>
      </c>
      <c r="M12" s="29">
        <f t="shared" si="3"/>
        <v>9074.0657584510991</v>
      </c>
      <c r="N12" s="47">
        <f t="shared" si="4"/>
        <v>121330.54936815542</v>
      </c>
      <c r="O12" s="47">
        <f t="shared" si="12"/>
        <v>13182</v>
      </c>
      <c r="P12" s="49">
        <f t="shared" si="5"/>
        <v>108148.54936815542</v>
      </c>
      <c r="T12" s="20">
        <v>10</v>
      </c>
      <c r="U12" s="47">
        <f t="shared" si="13"/>
        <v>241898.30456904665</v>
      </c>
      <c r="V12" s="29">
        <f t="shared" si="6"/>
        <v>19553.446285997936</v>
      </c>
      <c r="W12" s="47">
        <f t="shared" si="7"/>
        <v>261451.75085504458</v>
      </c>
      <c r="X12" s="47">
        <f t="shared" si="14"/>
        <v>28404.7</v>
      </c>
      <c r="Y12" s="49">
        <f t="shared" si="8"/>
        <v>233047.05085504457</v>
      </c>
    </row>
    <row r="13" spans="2:27" x14ac:dyDescent="0.35">
      <c r="B13" s="20">
        <v>11</v>
      </c>
      <c r="C13" s="47">
        <f t="shared" si="9"/>
        <v>233045.5964533996</v>
      </c>
      <c r="D13" s="29">
        <f t="shared" si="0"/>
        <v>18837.852379983135</v>
      </c>
      <c r="E13" s="47">
        <f t="shared" si="1"/>
        <v>251883.44883338275</v>
      </c>
      <c r="F13" s="47">
        <f t="shared" si="10"/>
        <v>28404.799999999999</v>
      </c>
      <c r="G13" s="49">
        <f t="shared" si="2"/>
        <v>223478.64883338276</v>
      </c>
      <c r="K13" s="20">
        <v>11</v>
      </c>
      <c r="L13" s="47">
        <f t="shared" si="11"/>
        <v>108148.54936815542</v>
      </c>
      <c r="M13" s="29">
        <f t="shared" si="3"/>
        <v>8742.0077405925622</v>
      </c>
      <c r="N13" s="47">
        <f t="shared" si="4"/>
        <v>116890.55710874798</v>
      </c>
      <c r="O13" s="47">
        <f t="shared" si="12"/>
        <v>13182</v>
      </c>
      <c r="P13" s="49">
        <f t="shared" si="5"/>
        <v>103708.55710874798</v>
      </c>
      <c r="T13" s="20">
        <v>11</v>
      </c>
      <c r="U13" s="47">
        <f t="shared" si="13"/>
        <v>233047.05085504457</v>
      </c>
      <c r="V13" s="29">
        <f t="shared" si="6"/>
        <v>18837.969944116099</v>
      </c>
      <c r="W13" s="47">
        <f t="shared" si="7"/>
        <v>251885.02079916067</v>
      </c>
      <c r="X13" s="47">
        <f t="shared" si="14"/>
        <v>28404.7</v>
      </c>
      <c r="Y13" s="49">
        <f t="shared" si="8"/>
        <v>223480.32079916066</v>
      </c>
    </row>
    <row r="14" spans="2:27" x14ac:dyDescent="0.35">
      <c r="B14" s="20">
        <v>12</v>
      </c>
      <c r="C14" s="47">
        <f t="shared" si="9"/>
        <v>223478.64883338276</v>
      </c>
      <c r="D14" s="29">
        <f t="shared" si="0"/>
        <v>18064.52411403177</v>
      </c>
      <c r="E14" s="47">
        <f t="shared" si="1"/>
        <v>241543.17294741454</v>
      </c>
      <c r="F14" s="47">
        <f t="shared" si="10"/>
        <v>28404.799999999999</v>
      </c>
      <c r="G14" s="49">
        <f t="shared" si="2"/>
        <v>213138.37294741455</v>
      </c>
      <c r="K14" s="20">
        <v>12</v>
      </c>
      <c r="L14" s="47">
        <f t="shared" si="11"/>
        <v>103708.55710874798</v>
      </c>
      <c r="M14" s="29">
        <f t="shared" si="3"/>
        <v>8383.1083662904603</v>
      </c>
      <c r="N14" s="47">
        <f t="shared" si="4"/>
        <v>112091.66547503843</v>
      </c>
      <c r="O14" s="47">
        <f t="shared" si="12"/>
        <v>13182</v>
      </c>
      <c r="P14" s="49">
        <f t="shared" si="5"/>
        <v>98909.665475038433</v>
      </c>
      <c r="T14" s="20">
        <v>12</v>
      </c>
      <c r="U14" s="47">
        <f t="shared" si="13"/>
        <v>223480.32079916066</v>
      </c>
      <c r="V14" s="29">
        <f t="shared" si="6"/>
        <v>18064.65926459882</v>
      </c>
      <c r="W14" s="47">
        <f t="shared" si="7"/>
        <v>241544.98006375949</v>
      </c>
      <c r="X14" s="47">
        <f t="shared" si="14"/>
        <v>28404.7</v>
      </c>
      <c r="Y14" s="49">
        <f t="shared" si="8"/>
        <v>213140.28006375948</v>
      </c>
    </row>
    <row r="15" spans="2:27" x14ac:dyDescent="0.35">
      <c r="B15" s="20">
        <v>13</v>
      </c>
      <c r="C15" s="47">
        <f t="shared" si="9"/>
        <v>213138.37294741455</v>
      </c>
      <c r="D15" s="29">
        <f t="shared" si="0"/>
        <v>17228.685146582673</v>
      </c>
      <c r="E15" s="47">
        <f t="shared" si="1"/>
        <v>230367.05809399721</v>
      </c>
      <c r="F15" s="47">
        <f t="shared" si="10"/>
        <v>28404.799999999999</v>
      </c>
      <c r="G15" s="49">
        <f t="shared" si="2"/>
        <v>201962.25809399722</v>
      </c>
      <c r="K15" s="20">
        <v>13</v>
      </c>
      <c r="L15" s="47">
        <f t="shared" si="11"/>
        <v>98909.665475038433</v>
      </c>
      <c r="M15" s="29">
        <f t="shared" si="3"/>
        <v>7995.1979592322723</v>
      </c>
      <c r="N15" s="47">
        <f t="shared" si="4"/>
        <v>106904.86343427071</v>
      </c>
      <c r="O15" s="47">
        <f t="shared" si="12"/>
        <v>13182</v>
      </c>
      <c r="P15" s="49">
        <f t="shared" si="5"/>
        <v>93722.863434270708</v>
      </c>
      <c r="T15" s="20">
        <v>13</v>
      </c>
      <c r="U15" s="47">
        <f t="shared" si="13"/>
        <v>213140.28006375948</v>
      </c>
      <c r="V15" s="29">
        <f t="shared" si="6"/>
        <v>17228.839305153888</v>
      </c>
      <c r="W15" s="47">
        <f t="shared" si="7"/>
        <v>230369.11936891335</v>
      </c>
      <c r="X15" s="47">
        <f t="shared" si="14"/>
        <v>28404.7</v>
      </c>
      <c r="Y15" s="49">
        <f t="shared" si="8"/>
        <v>201964.41936891334</v>
      </c>
    </row>
    <row r="16" spans="2:27" x14ac:dyDescent="0.35">
      <c r="B16" s="20">
        <v>14</v>
      </c>
      <c r="C16" s="47">
        <f t="shared" si="9"/>
        <v>201962.25809399722</v>
      </c>
      <c r="D16" s="29">
        <f t="shared" si="0"/>
        <v>16325.282529264774</v>
      </c>
      <c r="E16" s="47">
        <f t="shared" si="1"/>
        <v>218287.540623262</v>
      </c>
      <c r="F16" s="47">
        <f t="shared" si="10"/>
        <v>28404.799999999999</v>
      </c>
      <c r="G16" s="49">
        <f t="shared" si="2"/>
        <v>189882.74062326201</v>
      </c>
      <c r="K16" s="20">
        <v>14</v>
      </c>
      <c r="L16" s="47">
        <f t="shared" si="11"/>
        <v>93722.863434270708</v>
      </c>
      <c r="M16" s="29">
        <f t="shared" si="3"/>
        <v>7575.9314609368812</v>
      </c>
      <c r="N16" s="47">
        <f t="shared" si="4"/>
        <v>101298.7948952076</v>
      </c>
      <c r="O16" s="47">
        <f t="shared" si="12"/>
        <v>13182</v>
      </c>
      <c r="P16" s="49">
        <f t="shared" si="5"/>
        <v>88116.794895207597</v>
      </c>
      <c r="T16" s="20">
        <v>14</v>
      </c>
      <c r="U16" s="47">
        <f t="shared" si="13"/>
        <v>201964.41936891334</v>
      </c>
      <c r="V16" s="29">
        <f t="shared" si="6"/>
        <v>16325.457232320494</v>
      </c>
      <c r="W16" s="47">
        <f t="shared" si="7"/>
        <v>218289.87660123385</v>
      </c>
      <c r="X16" s="47">
        <f t="shared" si="14"/>
        <v>28404.7</v>
      </c>
      <c r="Y16" s="49">
        <f t="shared" si="8"/>
        <v>189885.17660123383</v>
      </c>
    </row>
    <row r="17" spans="2:25" x14ac:dyDescent="0.35">
      <c r="B17" s="20">
        <v>15</v>
      </c>
      <c r="C17" s="47">
        <f t="shared" si="9"/>
        <v>189882.74062326201</v>
      </c>
      <c r="D17" s="29">
        <f t="shared" si="0"/>
        <v>15348.854867047012</v>
      </c>
      <c r="E17" s="47">
        <f t="shared" si="1"/>
        <v>205231.59549030903</v>
      </c>
      <c r="F17" s="47">
        <f t="shared" si="10"/>
        <v>28404.799999999999</v>
      </c>
      <c r="G17" s="49">
        <f t="shared" si="2"/>
        <v>176826.79549030904</v>
      </c>
      <c r="K17" s="20">
        <v>15</v>
      </c>
      <c r="L17" s="47">
        <f t="shared" si="11"/>
        <v>88116.794895207597</v>
      </c>
      <c r="M17" s="29">
        <f t="shared" si="3"/>
        <v>7122.7742540292802</v>
      </c>
      <c r="N17" s="47">
        <f t="shared" si="4"/>
        <v>95239.569149236879</v>
      </c>
      <c r="O17" s="47">
        <f t="shared" si="12"/>
        <v>13182</v>
      </c>
      <c r="P17" s="49">
        <f t="shared" si="5"/>
        <v>82057.569149236879</v>
      </c>
      <c r="T17" s="20">
        <v>15</v>
      </c>
      <c r="U17" s="47">
        <f t="shared" si="13"/>
        <v>189885.17660123383</v>
      </c>
      <c r="V17" s="29">
        <f t="shared" si="6"/>
        <v>15349.0517752664</v>
      </c>
      <c r="W17" s="47">
        <f t="shared" si="7"/>
        <v>205234.22837650022</v>
      </c>
      <c r="X17" s="47">
        <f t="shared" si="14"/>
        <v>28404.7</v>
      </c>
      <c r="Y17" s="49">
        <f t="shared" si="8"/>
        <v>176829.52837650021</v>
      </c>
    </row>
    <row r="18" spans="2:25" x14ac:dyDescent="0.35">
      <c r="B18" s="20">
        <v>16</v>
      </c>
      <c r="C18" s="47">
        <f t="shared" si="9"/>
        <v>176826.79549030904</v>
      </c>
      <c r="D18" s="29">
        <f t="shared" si="0"/>
        <v>14293.499302133314</v>
      </c>
      <c r="E18" s="47">
        <f t="shared" si="1"/>
        <v>191120.29479244235</v>
      </c>
      <c r="F18" s="47">
        <f t="shared" si="10"/>
        <v>28404.799999999999</v>
      </c>
      <c r="G18" s="49">
        <f t="shared" si="2"/>
        <v>162715.49479244236</v>
      </c>
      <c r="K18" s="20">
        <v>16</v>
      </c>
      <c r="L18" s="47">
        <f t="shared" si="11"/>
        <v>82057.569149236879</v>
      </c>
      <c r="M18" s="29">
        <f t="shared" si="3"/>
        <v>6632.9868395633139</v>
      </c>
      <c r="N18" s="47">
        <f t="shared" si="4"/>
        <v>88690.555988800188</v>
      </c>
      <c r="O18" s="47">
        <f t="shared" si="12"/>
        <v>13182</v>
      </c>
      <c r="P18" s="49">
        <f t="shared" si="5"/>
        <v>75508.555988800188</v>
      </c>
      <c r="T18" s="20">
        <v>16</v>
      </c>
      <c r="U18" s="47">
        <f t="shared" si="13"/>
        <v>176829.52837650021</v>
      </c>
      <c r="V18" s="29">
        <f t="shared" si="6"/>
        <v>14293.720210433767</v>
      </c>
      <c r="W18" s="47">
        <f t="shared" si="7"/>
        <v>191123.24858693397</v>
      </c>
      <c r="X18" s="47">
        <f t="shared" si="14"/>
        <v>28404.7</v>
      </c>
      <c r="Y18" s="49">
        <f t="shared" si="8"/>
        <v>162718.54858693396</v>
      </c>
    </row>
    <row r="19" spans="2:25" x14ac:dyDescent="0.35">
      <c r="B19" s="20">
        <v>17</v>
      </c>
      <c r="C19" s="47">
        <f t="shared" si="9"/>
        <v>162715.49479244236</v>
      </c>
      <c r="D19" s="29">
        <f t="shared" si="0"/>
        <v>13152.835829055757</v>
      </c>
      <c r="E19" s="47">
        <f t="shared" si="1"/>
        <v>175868.33062149811</v>
      </c>
      <c r="F19" s="47">
        <f t="shared" si="10"/>
        <v>28404.799999999999</v>
      </c>
      <c r="G19" s="49">
        <f t="shared" si="2"/>
        <v>147463.53062149812</v>
      </c>
      <c r="K19" s="20">
        <v>17</v>
      </c>
      <c r="L19" s="47">
        <f t="shared" si="11"/>
        <v>75508.555988800188</v>
      </c>
      <c r="M19" s="29">
        <f t="shared" si="3"/>
        <v>6103.6082757613476</v>
      </c>
      <c r="N19" s="47">
        <f t="shared" si="4"/>
        <v>81612.164264561536</v>
      </c>
      <c r="O19" s="47">
        <f t="shared" si="12"/>
        <v>13182</v>
      </c>
      <c r="P19" s="49">
        <f t="shared" si="5"/>
        <v>68430.164264561536</v>
      </c>
      <c r="T19" s="20">
        <v>17</v>
      </c>
      <c r="U19" s="47">
        <f t="shared" si="13"/>
        <v>162718.54858693396</v>
      </c>
      <c r="V19" s="29">
        <f t="shared" si="6"/>
        <v>13153.082677443828</v>
      </c>
      <c r="W19" s="47">
        <f t="shared" si="7"/>
        <v>175871.63126437779</v>
      </c>
      <c r="X19" s="47">
        <f t="shared" si="14"/>
        <v>28404.7</v>
      </c>
      <c r="Y19" s="49">
        <f t="shared" si="8"/>
        <v>147466.93126437778</v>
      </c>
    </row>
    <row r="20" spans="2:25" x14ac:dyDescent="0.35">
      <c r="B20" s="20">
        <v>18</v>
      </c>
      <c r="C20" s="47">
        <f t="shared" si="9"/>
        <v>147463.53062149812</v>
      </c>
      <c r="D20" s="29">
        <f t="shared" si="0"/>
        <v>11919.968725237764</v>
      </c>
      <c r="E20" s="47">
        <f t="shared" si="1"/>
        <v>159383.49934673589</v>
      </c>
      <c r="F20" s="47">
        <f t="shared" si="10"/>
        <v>28404.799999999999</v>
      </c>
      <c r="G20" s="49">
        <f t="shared" si="2"/>
        <v>130978.69934673588</v>
      </c>
      <c r="K20" s="20">
        <v>18</v>
      </c>
      <c r="L20" s="47">
        <f t="shared" si="11"/>
        <v>68430.164264561536</v>
      </c>
      <c r="M20" s="29">
        <f t="shared" si="3"/>
        <v>5531.4382780520573</v>
      </c>
      <c r="N20" s="47">
        <f t="shared" si="4"/>
        <v>73961.602542613589</v>
      </c>
      <c r="O20" s="47">
        <f t="shared" si="12"/>
        <v>13182</v>
      </c>
      <c r="P20" s="49">
        <f t="shared" si="5"/>
        <v>60779.602542613589</v>
      </c>
      <c r="T20" s="20">
        <v>18</v>
      </c>
      <c r="U20" s="47">
        <f t="shared" si="13"/>
        <v>147466.93126437778</v>
      </c>
      <c r="V20" s="29">
        <f t="shared" si="6"/>
        <v>11920.243610537203</v>
      </c>
      <c r="W20" s="47">
        <f t="shared" si="7"/>
        <v>159387.17487491498</v>
      </c>
      <c r="X20" s="47">
        <f t="shared" si="14"/>
        <v>28404.7</v>
      </c>
      <c r="Y20" s="49">
        <f t="shared" si="8"/>
        <v>130982.47487491499</v>
      </c>
    </row>
    <row r="21" spans="2:25" x14ac:dyDescent="0.35">
      <c r="B21" s="20">
        <v>19</v>
      </c>
      <c r="C21" s="47">
        <f t="shared" si="9"/>
        <v>130978.69934673588</v>
      </c>
      <c r="D21" s="29">
        <f t="shared" si="0"/>
        <v>10587.44486386115</v>
      </c>
      <c r="E21" s="47">
        <f t="shared" si="1"/>
        <v>141566.14421059703</v>
      </c>
      <c r="F21" s="47">
        <f t="shared" si="10"/>
        <v>28404.799999999999</v>
      </c>
      <c r="G21" s="49">
        <f t="shared" si="2"/>
        <v>113161.34421059703</v>
      </c>
      <c r="K21" s="20">
        <v>19</v>
      </c>
      <c r="L21" s="47">
        <f t="shared" si="11"/>
        <v>60779.602542613589</v>
      </c>
      <c r="M21" s="29">
        <f t="shared" si="3"/>
        <v>4913.0178721945977</v>
      </c>
      <c r="N21" s="47">
        <f t="shared" si="4"/>
        <v>65692.620414808189</v>
      </c>
      <c r="O21" s="47">
        <f t="shared" si="12"/>
        <v>13182</v>
      </c>
      <c r="P21" s="49">
        <f t="shared" si="5"/>
        <v>52510.620414808189</v>
      </c>
      <c r="T21" s="20">
        <v>19</v>
      </c>
      <c r="U21" s="47">
        <f t="shared" si="13"/>
        <v>130982.47487491499</v>
      </c>
      <c r="V21" s="29">
        <f t="shared" si="6"/>
        <v>10587.750052388961</v>
      </c>
      <c r="W21" s="47">
        <f t="shared" si="7"/>
        <v>141570.22492730396</v>
      </c>
      <c r="X21" s="47">
        <f t="shared" si="14"/>
        <v>28404.7</v>
      </c>
      <c r="Y21" s="49">
        <f t="shared" si="8"/>
        <v>113165.52492730397</v>
      </c>
    </row>
    <row r="22" spans="2:25" x14ac:dyDescent="0.35">
      <c r="B22" s="20">
        <v>20</v>
      </c>
      <c r="C22" s="47">
        <f t="shared" si="9"/>
        <v>113161.34421059703</v>
      </c>
      <c r="D22" s="29">
        <f t="shared" si="0"/>
        <v>9147.2086570232586</v>
      </c>
      <c r="E22" s="47">
        <f t="shared" si="1"/>
        <v>122308.5528676203</v>
      </c>
      <c r="F22" s="47">
        <f t="shared" si="10"/>
        <v>28404.799999999999</v>
      </c>
      <c r="G22" s="49">
        <f t="shared" si="2"/>
        <v>93903.752867620293</v>
      </c>
      <c r="K22" s="20">
        <v>20</v>
      </c>
      <c r="L22" s="47">
        <f t="shared" si="11"/>
        <v>52510.620414808189</v>
      </c>
      <c r="M22" s="29">
        <f t="shared" si="3"/>
        <v>4244.6084835303282</v>
      </c>
      <c r="N22" s="47">
        <f t="shared" si="4"/>
        <v>56755.228898338515</v>
      </c>
      <c r="O22" s="47">
        <f t="shared" si="12"/>
        <v>13182</v>
      </c>
      <c r="P22" s="49">
        <f t="shared" si="5"/>
        <v>43573.228898338515</v>
      </c>
      <c r="T22" s="20">
        <v>20</v>
      </c>
      <c r="U22" s="47">
        <f t="shared" si="13"/>
        <v>113165.52492730397</v>
      </c>
      <c r="V22" s="29">
        <f t="shared" si="6"/>
        <v>9147.5465982904025</v>
      </c>
      <c r="W22" s="47">
        <f t="shared" si="7"/>
        <v>122313.07152559437</v>
      </c>
      <c r="X22" s="47">
        <f t="shared" si="14"/>
        <v>28404.7</v>
      </c>
      <c r="Y22" s="49">
        <f t="shared" si="8"/>
        <v>93908.371525594368</v>
      </c>
    </row>
    <row r="23" spans="2:25" x14ac:dyDescent="0.35">
      <c r="B23" s="20">
        <v>21</v>
      </c>
      <c r="C23" s="47">
        <f t="shared" si="9"/>
        <v>93903.752867620293</v>
      </c>
      <c r="D23" s="29">
        <f t="shared" si="0"/>
        <v>7590.5533567993061</v>
      </c>
      <c r="E23" s="47">
        <f t="shared" si="1"/>
        <v>101494.3062244196</v>
      </c>
      <c r="F23" s="47">
        <f t="shared" si="10"/>
        <v>28404.799999999999</v>
      </c>
      <c r="G23" s="49">
        <f t="shared" si="2"/>
        <v>73089.506224419601</v>
      </c>
      <c r="K23" s="20">
        <v>21</v>
      </c>
      <c r="L23" s="47">
        <f t="shared" si="11"/>
        <v>43573.228898338515</v>
      </c>
      <c r="M23" s="29">
        <f t="shared" si="3"/>
        <v>3522.1693359490296</v>
      </c>
      <c r="N23" s="47">
        <f t="shared" si="4"/>
        <v>47095.398234287546</v>
      </c>
      <c r="O23" s="47">
        <f t="shared" si="12"/>
        <v>13182</v>
      </c>
      <c r="P23" s="49">
        <f t="shared" si="5"/>
        <v>33913.398234287546</v>
      </c>
      <c r="T23" s="20">
        <v>21</v>
      </c>
      <c r="U23" s="47">
        <f t="shared" si="13"/>
        <v>93908.371525594368</v>
      </c>
      <c r="V23" s="29">
        <f t="shared" si="6"/>
        <v>7590.9266983188772</v>
      </c>
      <c r="W23" s="47">
        <f t="shared" si="7"/>
        <v>101499.29822391324</v>
      </c>
      <c r="X23" s="47">
        <f t="shared" si="14"/>
        <v>28404.7</v>
      </c>
      <c r="Y23" s="49">
        <f t="shared" si="8"/>
        <v>73094.598223913243</v>
      </c>
    </row>
    <row r="24" spans="2:25" x14ac:dyDescent="0.35">
      <c r="B24" s="20">
        <v>22</v>
      </c>
      <c r="C24" s="47">
        <f t="shared" si="9"/>
        <v>73089.506224419601</v>
      </c>
      <c r="D24" s="29">
        <f t="shared" si="0"/>
        <v>5908.0684198072504</v>
      </c>
      <c r="E24" s="47">
        <f t="shared" si="1"/>
        <v>78997.574644226857</v>
      </c>
      <c r="F24" s="47">
        <f t="shared" si="10"/>
        <v>28404.799999999999</v>
      </c>
      <c r="G24" s="49">
        <f t="shared" si="2"/>
        <v>50592.774644226854</v>
      </c>
      <c r="K24" s="20">
        <v>22</v>
      </c>
      <c r="L24" s="47">
        <f t="shared" si="11"/>
        <v>33913.398234287546</v>
      </c>
      <c r="M24" s="29">
        <f t="shared" si="3"/>
        <v>2741.3330239382431</v>
      </c>
      <c r="N24" s="47">
        <f t="shared" si="4"/>
        <v>36654.731258225787</v>
      </c>
      <c r="O24" s="47">
        <f t="shared" si="12"/>
        <v>13182</v>
      </c>
      <c r="P24" s="49">
        <f t="shared" si="5"/>
        <v>23472.731258225787</v>
      </c>
      <c r="T24" s="20">
        <v>22</v>
      </c>
      <c r="U24" s="47">
        <f t="shared" si="13"/>
        <v>73094.598223913243</v>
      </c>
      <c r="V24" s="29">
        <f t="shared" si="6"/>
        <v>5908.4800230996534</v>
      </c>
      <c r="W24" s="47">
        <f t="shared" si="7"/>
        <v>79003.078247012891</v>
      </c>
      <c r="X24" s="47">
        <f t="shared" si="14"/>
        <v>28404.7</v>
      </c>
      <c r="Y24" s="49">
        <f t="shared" si="8"/>
        <v>50598.378247012894</v>
      </c>
    </row>
    <row r="25" spans="2:25" x14ac:dyDescent="0.35">
      <c r="B25" s="20">
        <v>23</v>
      </c>
      <c r="C25" s="47">
        <f t="shared" si="9"/>
        <v>50592.774644226854</v>
      </c>
      <c r="D25" s="29">
        <f t="shared" si="0"/>
        <v>4089.5826170750038</v>
      </c>
      <c r="E25" s="47">
        <f t="shared" si="1"/>
        <v>54682.357261301855</v>
      </c>
      <c r="F25" s="47">
        <f t="shared" si="10"/>
        <v>28404.799999999999</v>
      </c>
      <c r="G25" s="49">
        <f t="shared" si="2"/>
        <v>26277.557261301856</v>
      </c>
      <c r="K25" s="20">
        <v>23</v>
      </c>
      <c r="L25" s="47">
        <f t="shared" si="11"/>
        <v>23472.731258225787</v>
      </c>
      <c r="M25" s="29">
        <f t="shared" si="3"/>
        <v>1897.3791100399176</v>
      </c>
      <c r="N25" s="47">
        <f t="shared" si="4"/>
        <v>25370.110368265705</v>
      </c>
      <c r="O25" s="47">
        <f t="shared" si="12"/>
        <v>13182</v>
      </c>
      <c r="P25" s="49">
        <f t="shared" si="5"/>
        <v>12188.110368265705</v>
      </c>
      <c r="T25" s="20">
        <v>23</v>
      </c>
      <c r="U25" s="47">
        <f t="shared" si="13"/>
        <v>50598.378247012894</v>
      </c>
      <c r="V25" s="29">
        <f t="shared" si="6"/>
        <v>4090.0355749668752</v>
      </c>
      <c r="W25" s="47">
        <f t="shared" si="7"/>
        <v>54688.413821979768</v>
      </c>
      <c r="X25" s="47">
        <f t="shared" si="14"/>
        <v>28404.7</v>
      </c>
      <c r="Y25" s="49">
        <f t="shared" si="8"/>
        <v>26283.713821979767</v>
      </c>
    </row>
    <row r="26" spans="2:25" ht="15" thickBot="1" x14ac:dyDescent="0.4">
      <c r="B26" s="23">
        <v>24</v>
      </c>
      <c r="C26" s="54">
        <f t="shared" si="9"/>
        <v>26277.557261301856</v>
      </c>
      <c r="D26" s="34">
        <f t="shared" si="0"/>
        <v>2124.1025452885665</v>
      </c>
      <c r="E26" s="54">
        <f t="shared" si="1"/>
        <v>28401.659806590422</v>
      </c>
      <c r="F26" s="54">
        <f t="shared" si="10"/>
        <v>28404.799999999999</v>
      </c>
      <c r="G26" s="55">
        <f t="shared" si="2"/>
        <v>-3.1401934095774777</v>
      </c>
      <c r="K26" s="23">
        <v>24</v>
      </c>
      <c r="L26" s="54">
        <f t="shared" si="11"/>
        <v>12188.110368265705</v>
      </c>
      <c r="M26" s="34">
        <f t="shared" si="3"/>
        <v>985.2055881014777</v>
      </c>
      <c r="N26" s="54">
        <f t="shared" si="4"/>
        <v>13173.315956367183</v>
      </c>
      <c r="O26" s="54">
        <f t="shared" si="12"/>
        <v>13182</v>
      </c>
      <c r="P26" s="55">
        <f t="shared" si="5"/>
        <v>-8.6840436328166106</v>
      </c>
      <c r="T26" s="23">
        <v>24</v>
      </c>
      <c r="U26" s="54">
        <f t="shared" si="13"/>
        <v>26283.713821979767</v>
      </c>
      <c r="V26" s="34">
        <f t="shared" si="6"/>
        <v>2124.6002006100312</v>
      </c>
      <c r="W26" s="54">
        <f t="shared" si="7"/>
        <v>28408.314022589799</v>
      </c>
      <c r="X26" s="54">
        <f t="shared" si="14"/>
        <v>28404.7</v>
      </c>
      <c r="Y26" s="55">
        <f t="shared" si="8"/>
        <v>3.614022589797969</v>
      </c>
    </row>
  </sheetData>
  <mergeCells count="3">
    <mergeCell ref="B1:G1"/>
    <mergeCell ref="K1:P1"/>
    <mergeCell ref="T1:Y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CD11"/>
  <sheetViews>
    <sheetView workbookViewId="0">
      <pane xSplit="2" ySplit="3" topLeftCell="BT4" activePane="bottomRight" state="frozen"/>
      <selection pane="topRight" activeCell="C1" sqref="C1"/>
      <selection pane="bottomLeft" activeCell="A4" sqref="A4"/>
      <selection pane="bottomRight" activeCell="BW11" sqref="BW11"/>
    </sheetView>
  </sheetViews>
  <sheetFormatPr baseColWidth="10" defaultRowHeight="14.5" x14ac:dyDescent="0.35"/>
  <cols>
    <col min="1" max="1" width="2.453125" customWidth="1"/>
    <col min="2" max="2" width="17.7265625" customWidth="1"/>
    <col min="3" max="3" width="12.54296875" bestFit="1" customWidth="1"/>
    <col min="6" max="6" width="12.54296875" bestFit="1" customWidth="1"/>
    <col min="8" max="8" width="12.54296875" bestFit="1" customWidth="1"/>
    <col min="10" max="10" width="12.54296875" bestFit="1" customWidth="1"/>
    <col min="12" max="12" width="12.54296875" bestFit="1" customWidth="1"/>
    <col min="14" max="14" width="12.54296875" bestFit="1" customWidth="1"/>
    <col min="16" max="16" width="12.54296875" bestFit="1" customWidth="1"/>
    <col min="18" max="18" width="12.54296875" bestFit="1" customWidth="1"/>
    <col min="20" max="20" width="12.54296875" bestFit="1" customWidth="1"/>
    <col min="22" max="22" width="12.54296875" bestFit="1" customWidth="1"/>
    <col min="24" max="24" width="12.54296875" bestFit="1" customWidth="1"/>
    <col min="26" max="28" width="12.54296875" bestFit="1" customWidth="1"/>
    <col min="30" max="30" width="12.54296875" bestFit="1" customWidth="1"/>
    <col min="32" max="32" width="12.54296875" bestFit="1" customWidth="1"/>
    <col min="34" max="34" width="12.54296875" bestFit="1" customWidth="1"/>
    <col min="36" max="36" width="12.54296875" bestFit="1" customWidth="1"/>
    <col min="38" max="38" width="12.54296875" bestFit="1" customWidth="1"/>
    <col min="40" max="40" width="12.54296875" bestFit="1" customWidth="1"/>
    <col min="42" max="42" width="12.54296875" bestFit="1" customWidth="1"/>
    <col min="44" max="46" width="12.54296875" bestFit="1" customWidth="1"/>
    <col min="48" max="48" width="12.54296875" bestFit="1" customWidth="1"/>
    <col min="50" max="50" width="12.54296875" bestFit="1" customWidth="1"/>
    <col min="52" max="52" width="12.54296875" bestFit="1" customWidth="1"/>
    <col min="54" max="54" width="12.54296875" bestFit="1" customWidth="1"/>
    <col min="56" max="56" width="12.54296875" bestFit="1" customWidth="1"/>
    <col min="58" max="60" width="12.54296875" bestFit="1" customWidth="1"/>
    <col min="62" max="62" width="12.54296875" bestFit="1" customWidth="1"/>
    <col min="64" max="64" width="12.54296875" bestFit="1" customWidth="1"/>
    <col min="66" max="66" width="12.54296875" bestFit="1" customWidth="1"/>
    <col min="68" max="68" width="12.54296875" bestFit="1" customWidth="1"/>
    <col min="70" max="70" width="12.54296875" bestFit="1" customWidth="1"/>
    <col min="72" max="72" width="12.54296875" bestFit="1" customWidth="1"/>
    <col min="74" max="74" width="12.54296875" bestFit="1" customWidth="1"/>
    <col min="76" max="76" width="12.54296875" bestFit="1" customWidth="1"/>
    <col min="78" max="78" width="12.54296875" bestFit="1" customWidth="1"/>
    <col min="80" max="80" width="12.54296875" bestFit="1" customWidth="1"/>
    <col min="82" max="82" width="12.54296875" bestFit="1" customWidth="1"/>
  </cols>
  <sheetData>
    <row r="1" spans="2:82" ht="15" thickBot="1" x14ac:dyDescent="0.4"/>
    <row r="2" spans="2:82" ht="15" thickBot="1" x14ac:dyDescent="0.4">
      <c r="B2" s="129" t="str">
        <f>'PROYECCIÓN FINANCIERA'!B19</f>
        <v>BARILLA</v>
      </c>
      <c r="C2" s="186" t="s">
        <v>136</v>
      </c>
      <c r="D2" s="187"/>
      <c r="E2" s="186" t="s">
        <v>137</v>
      </c>
      <c r="F2" s="187"/>
      <c r="G2" s="186" t="s">
        <v>138</v>
      </c>
      <c r="H2" s="187"/>
      <c r="I2" s="186" t="s">
        <v>139</v>
      </c>
      <c r="J2" s="187"/>
      <c r="K2" s="186" t="s">
        <v>140</v>
      </c>
      <c r="L2" s="187"/>
      <c r="M2" s="186" t="s">
        <v>141</v>
      </c>
      <c r="N2" s="187"/>
      <c r="O2" s="186" t="s">
        <v>142</v>
      </c>
      <c r="P2" s="187"/>
      <c r="Q2" s="186" t="s">
        <v>143</v>
      </c>
      <c r="R2" s="187"/>
      <c r="S2" s="186" t="s">
        <v>144</v>
      </c>
      <c r="T2" s="187"/>
      <c r="U2" s="186" t="s">
        <v>145</v>
      </c>
      <c r="V2" s="187"/>
      <c r="W2" s="186" t="s">
        <v>146</v>
      </c>
      <c r="X2" s="187"/>
      <c r="Y2" s="186" t="s">
        <v>147</v>
      </c>
      <c r="Z2" s="187"/>
      <c r="AA2" s="186" t="s">
        <v>148</v>
      </c>
      <c r="AB2" s="187"/>
      <c r="AC2" s="186" t="s">
        <v>149</v>
      </c>
      <c r="AD2" s="187"/>
      <c r="AE2" s="186" t="s">
        <v>150</v>
      </c>
      <c r="AF2" s="187"/>
      <c r="AG2" s="186" t="s">
        <v>151</v>
      </c>
      <c r="AH2" s="187"/>
      <c r="AI2" s="186" t="s">
        <v>152</v>
      </c>
      <c r="AJ2" s="187"/>
      <c r="AK2" s="186" t="s">
        <v>153</v>
      </c>
      <c r="AL2" s="187"/>
      <c r="AM2" s="186" t="s">
        <v>154</v>
      </c>
      <c r="AN2" s="187"/>
      <c r="AO2" s="186" t="s">
        <v>155</v>
      </c>
      <c r="AP2" s="187"/>
      <c r="AQ2" s="186" t="s">
        <v>156</v>
      </c>
      <c r="AR2" s="187"/>
      <c r="AS2" s="186" t="s">
        <v>157</v>
      </c>
      <c r="AT2" s="187"/>
      <c r="AU2" s="186" t="s">
        <v>158</v>
      </c>
      <c r="AV2" s="187"/>
      <c r="AW2" s="186" t="s">
        <v>159</v>
      </c>
      <c r="AX2" s="187"/>
      <c r="AY2" s="186" t="s">
        <v>160</v>
      </c>
      <c r="AZ2" s="187"/>
      <c r="BA2" s="186" t="s">
        <v>161</v>
      </c>
      <c r="BB2" s="187"/>
      <c r="BC2" s="186" t="s">
        <v>162</v>
      </c>
      <c r="BD2" s="187"/>
      <c r="BE2" s="186" t="s">
        <v>163</v>
      </c>
      <c r="BF2" s="187"/>
      <c r="BG2" s="186" t="s">
        <v>164</v>
      </c>
      <c r="BH2" s="187"/>
      <c r="BI2" s="186" t="s">
        <v>165</v>
      </c>
      <c r="BJ2" s="187"/>
      <c r="BK2" s="186" t="s">
        <v>166</v>
      </c>
      <c r="BL2" s="187"/>
      <c r="BM2" s="186" t="s">
        <v>167</v>
      </c>
      <c r="BN2" s="187"/>
      <c r="BO2" s="186" t="s">
        <v>168</v>
      </c>
      <c r="BP2" s="187"/>
      <c r="BQ2" s="186" t="s">
        <v>169</v>
      </c>
      <c r="BR2" s="187"/>
      <c r="BS2" s="186" t="s">
        <v>170</v>
      </c>
      <c r="BT2" s="187"/>
      <c r="BU2" s="186" t="s">
        <v>171</v>
      </c>
      <c r="BV2" s="187"/>
      <c r="BW2" s="186" t="s">
        <v>178</v>
      </c>
      <c r="BX2" s="187"/>
      <c r="BY2" s="186" t="s">
        <v>179</v>
      </c>
      <c r="BZ2" s="187"/>
      <c r="CA2" s="186" t="s">
        <v>180</v>
      </c>
      <c r="CB2" s="187"/>
      <c r="CC2" s="186" t="s">
        <v>181</v>
      </c>
      <c r="CD2" s="187"/>
    </row>
    <row r="3" spans="2:82" x14ac:dyDescent="0.35">
      <c r="B3" s="130" t="str">
        <f>'PROYECCIÓN FINANCIERA'!B20</f>
        <v>CONCEPTO</v>
      </c>
      <c r="C3" s="38">
        <f>'PROYECCIÓN FINANCIERA'!C20</f>
        <v>1</v>
      </c>
      <c r="D3" s="38">
        <f>'PROYECCIÓN FINANCIERA'!D20</f>
        <v>2</v>
      </c>
      <c r="E3" s="38">
        <f>'PROYECCIÓN FINANCIERA'!E20</f>
        <v>3</v>
      </c>
      <c r="F3" s="38">
        <f>'PROYECCIÓN FINANCIERA'!F20</f>
        <v>4</v>
      </c>
      <c r="G3" s="38">
        <f>'PROYECCIÓN FINANCIERA'!G20</f>
        <v>5</v>
      </c>
      <c r="H3" s="38">
        <f>'PROYECCIÓN FINANCIERA'!H20</f>
        <v>6</v>
      </c>
      <c r="I3" s="38">
        <f>'PROYECCIÓN FINANCIERA'!I20</f>
        <v>7</v>
      </c>
      <c r="J3" s="38">
        <f>'PROYECCIÓN FINANCIERA'!J20</f>
        <v>8</v>
      </c>
      <c r="K3" s="38">
        <f>'PROYECCIÓN FINANCIERA'!K20</f>
        <v>9</v>
      </c>
      <c r="L3" s="38">
        <f>'PROYECCIÓN FINANCIERA'!L20</f>
        <v>10</v>
      </c>
      <c r="M3" s="38">
        <v>11</v>
      </c>
      <c r="N3" s="38">
        <v>12</v>
      </c>
      <c r="O3" s="38">
        <v>13</v>
      </c>
      <c r="P3" s="38">
        <v>14</v>
      </c>
      <c r="Q3" s="38">
        <v>15</v>
      </c>
      <c r="R3" s="38">
        <v>16</v>
      </c>
      <c r="S3" s="38">
        <v>17</v>
      </c>
      <c r="T3" s="38">
        <v>18</v>
      </c>
      <c r="U3" s="38">
        <v>19</v>
      </c>
      <c r="V3" s="38">
        <v>20</v>
      </c>
      <c r="W3" s="38">
        <v>21</v>
      </c>
      <c r="X3" s="38">
        <v>22</v>
      </c>
      <c r="Y3" s="38">
        <v>23</v>
      </c>
      <c r="Z3" s="39">
        <v>24</v>
      </c>
      <c r="AA3" s="39">
        <v>25</v>
      </c>
      <c r="AB3" s="38">
        <v>26</v>
      </c>
      <c r="AC3" s="7">
        <v>27</v>
      </c>
      <c r="AD3" s="7">
        <v>28</v>
      </c>
      <c r="AE3" s="7">
        <v>29</v>
      </c>
      <c r="AF3" s="7">
        <v>30</v>
      </c>
      <c r="AG3" s="7">
        <v>31</v>
      </c>
      <c r="AH3" s="7">
        <v>32</v>
      </c>
      <c r="AI3" s="7">
        <v>33</v>
      </c>
      <c r="AJ3" s="7">
        <v>34</v>
      </c>
      <c r="AK3" s="7">
        <v>35</v>
      </c>
      <c r="AL3" s="7">
        <v>36</v>
      </c>
      <c r="AM3" s="7">
        <v>37</v>
      </c>
      <c r="AN3" s="7">
        <v>38</v>
      </c>
      <c r="AO3" s="7">
        <v>39</v>
      </c>
      <c r="AP3" s="7">
        <v>40</v>
      </c>
      <c r="AQ3" s="7">
        <v>41</v>
      </c>
      <c r="AR3" s="7">
        <v>42</v>
      </c>
      <c r="AS3" s="7">
        <v>43</v>
      </c>
      <c r="AT3" s="7">
        <v>44</v>
      </c>
      <c r="AU3" s="7">
        <v>45</v>
      </c>
      <c r="AV3" s="7">
        <v>46</v>
      </c>
      <c r="AW3" s="7">
        <v>47</v>
      </c>
      <c r="AX3" s="7">
        <v>48</v>
      </c>
      <c r="AY3" s="7">
        <v>49</v>
      </c>
      <c r="AZ3" s="7">
        <v>50</v>
      </c>
      <c r="BA3" s="7">
        <v>51</v>
      </c>
      <c r="BB3" s="7">
        <v>52</v>
      </c>
      <c r="BC3" s="7">
        <v>53</v>
      </c>
      <c r="BD3" s="7">
        <v>54</v>
      </c>
      <c r="BE3" s="7">
        <v>55</v>
      </c>
      <c r="BF3" s="7">
        <v>56</v>
      </c>
      <c r="BG3" s="7">
        <v>57</v>
      </c>
      <c r="BH3" s="7">
        <v>58</v>
      </c>
      <c r="BI3" s="7">
        <v>59</v>
      </c>
      <c r="BJ3" s="7">
        <v>60</v>
      </c>
      <c r="BK3" s="7">
        <v>61</v>
      </c>
      <c r="BL3" s="7">
        <v>62</v>
      </c>
      <c r="BM3" s="7">
        <v>63</v>
      </c>
      <c r="BN3" s="7">
        <v>64</v>
      </c>
      <c r="BO3" s="7">
        <v>65</v>
      </c>
      <c r="BP3" s="7">
        <v>66</v>
      </c>
      <c r="BQ3" s="7">
        <v>67</v>
      </c>
      <c r="BR3" s="7">
        <v>68</v>
      </c>
      <c r="BS3" s="7">
        <v>69</v>
      </c>
      <c r="BT3" s="7">
        <v>70</v>
      </c>
      <c r="BU3" s="7">
        <v>71</v>
      </c>
      <c r="BV3" s="7">
        <v>72</v>
      </c>
      <c r="BW3" s="7">
        <v>73</v>
      </c>
      <c r="BX3" s="7">
        <v>74</v>
      </c>
      <c r="BY3" s="7">
        <v>75</v>
      </c>
      <c r="BZ3" s="7">
        <v>76</v>
      </c>
      <c r="CA3" s="7">
        <v>77</v>
      </c>
      <c r="CB3" s="7">
        <v>78</v>
      </c>
      <c r="CC3" s="7">
        <v>79</v>
      </c>
      <c r="CD3" s="7">
        <v>80</v>
      </c>
    </row>
    <row r="4" spans="2:82" ht="29" x14ac:dyDescent="0.35">
      <c r="B4" s="40" t="str">
        <f>'PROYECCIÓN FINANCIERA'!B21</f>
        <v>CAPITAL DE TRABAJO</v>
      </c>
      <c r="C4" s="110">
        <f>'PROYECCIÓN FINANCIERA'!C21</f>
        <v>13970</v>
      </c>
      <c r="D4" s="110">
        <f>'PROYECCIÓN FINANCIERA'!D21</f>
        <v>13970</v>
      </c>
      <c r="E4" s="110">
        <f>'PROYECCIÓN FINANCIERA'!E21</f>
        <v>13970</v>
      </c>
      <c r="F4" s="110">
        <f>'PROYECCIÓN FINANCIERA'!F21</f>
        <v>13970</v>
      </c>
      <c r="G4" s="110">
        <f>'PROYECCIÓN FINANCIERA'!G21</f>
        <v>13970</v>
      </c>
      <c r="H4" s="110">
        <f>'PROYECCIÓN FINANCIERA'!H21</f>
        <v>13970</v>
      </c>
      <c r="I4" s="110">
        <f>'PROYECCIÓN FINANCIERA'!I21</f>
        <v>13970</v>
      </c>
      <c r="J4" s="110">
        <f>'PROYECCIÓN FINANCIERA'!J21</f>
        <v>13970</v>
      </c>
      <c r="K4" s="110">
        <f>'PROYECCIÓN FINANCIERA'!K21</f>
        <v>13970</v>
      </c>
      <c r="L4" s="110">
        <f>'PROYECCIÓN FINANCIERA'!L21</f>
        <v>13970</v>
      </c>
      <c r="M4" s="110">
        <f>L4</f>
        <v>13970</v>
      </c>
      <c r="N4" s="110">
        <f t="shared" ref="N4:AX4" si="0">M4</f>
        <v>13970</v>
      </c>
      <c r="O4" s="110">
        <f t="shared" si="0"/>
        <v>13970</v>
      </c>
      <c r="P4" s="110">
        <f t="shared" si="0"/>
        <v>13970</v>
      </c>
      <c r="Q4" s="110">
        <f t="shared" si="0"/>
        <v>13970</v>
      </c>
      <c r="R4" s="110">
        <f t="shared" si="0"/>
        <v>13970</v>
      </c>
      <c r="S4" s="110">
        <f t="shared" si="0"/>
        <v>13970</v>
      </c>
      <c r="T4" s="110">
        <f t="shared" si="0"/>
        <v>13970</v>
      </c>
      <c r="U4" s="110">
        <f t="shared" si="0"/>
        <v>13970</v>
      </c>
      <c r="V4" s="110">
        <f t="shared" si="0"/>
        <v>13970</v>
      </c>
      <c r="W4" s="110">
        <f t="shared" si="0"/>
        <v>13970</v>
      </c>
      <c r="X4" s="110">
        <f t="shared" si="0"/>
        <v>13970</v>
      </c>
      <c r="Y4" s="110">
        <f t="shared" si="0"/>
        <v>13970</v>
      </c>
      <c r="Z4" s="110">
        <f t="shared" si="0"/>
        <v>13970</v>
      </c>
      <c r="AA4" s="110">
        <f t="shared" si="0"/>
        <v>13970</v>
      </c>
      <c r="AB4" s="110">
        <f t="shared" si="0"/>
        <v>13970</v>
      </c>
      <c r="AC4" s="110">
        <f t="shared" si="0"/>
        <v>13970</v>
      </c>
      <c r="AD4" s="110">
        <f t="shared" si="0"/>
        <v>13970</v>
      </c>
      <c r="AE4" s="110">
        <f t="shared" si="0"/>
        <v>13970</v>
      </c>
      <c r="AF4" s="110">
        <f t="shared" si="0"/>
        <v>13970</v>
      </c>
      <c r="AG4" s="110">
        <f t="shared" si="0"/>
        <v>13970</v>
      </c>
      <c r="AH4" s="110">
        <f t="shared" si="0"/>
        <v>13970</v>
      </c>
      <c r="AI4" s="110">
        <f t="shared" si="0"/>
        <v>13970</v>
      </c>
      <c r="AJ4" s="110">
        <f t="shared" si="0"/>
        <v>13970</v>
      </c>
      <c r="AK4" s="110">
        <f t="shared" si="0"/>
        <v>13970</v>
      </c>
      <c r="AL4" s="110">
        <f t="shared" si="0"/>
        <v>13970</v>
      </c>
      <c r="AM4" s="110">
        <f t="shared" si="0"/>
        <v>13970</v>
      </c>
      <c r="AN4" s="110">
        <f t="shared" si="0"/>
        <v>13970</v>
      </c>
      <c r="AO4" s="110">
        <f t="shared" si="0"/>
        <v>13970</v>
      </c>
      <c r="AP4" s="110">
        <f t="shared" si="0"/>
        <v>13970</v>
      </c>
      <c r="AQ4" s="110">
        <f t="shared" si="0"/>
        <v>13970</v>
      </c>
      <c r="AR4" s="110">
        <f t="shared" si="0"/>
        <v>13970</v>
      </c>
      <c r="AS4" s="110">
        <f t="shared" si="0"/>
        <v>13970</v>
      </c>
      <c r="AT4" s="110">
        <f t="shared" si="0"/>
        <v>13970</v>
      </c>
      <c r="AU4" s="110">
        <f t="shared" si="0"/>
        <v>13970</v>
      </c>
      <c r="AV4" s="110">
        <f t="shared" si="0"/>
        <v>13970</v>
      </c>
      <c r="AW4" s="110">
        <f t="shared" si="0"/>
        <v>13970</v>
      </c>
      <c r="AX4" s="110">
        <f t="shared" si="0"/>
        <v>13970</v>
      </c>
      <c r="AY4" s="110">
        <f t="shared" ref="AY4:BS4" si="1">AX4</f>
        <v>13970</v>
      </c>
      <c r="AZ4" s="110">
        <f t="shared" si="1"/>
        <v>13970</v>
      </c>
      <c r="BA4" s="110">
        <f t="shared" si="1"/>
        <v>13970</v>
      </c>
      <c r="BB4" s="110">
        <f t="shared" si="1"/>
        <v>13970</v>
      </c>
      <c r="BC4" s="110">
        <f t="shared" si="1"/>
        <v>13970</v>
      </c>
      <c r="BD4" s="110">
        <f t="shared" si="1"/>
        <v>13970</v>
      </c>
      <c r="BE4" s="110">
        <f t="shared" si="1"/>
        <v>13970</v>
      </c>
      <c r="BF4" s="110">
        <f t="shared" si="1"/>
        <v>13970</v>
      </c>
      <c r="BG4" s="110">
        <f t="shared" si="1"/>
        <v>13970</v>
      </c>
      <c r="BH4" s="110">
        <f t="shared" si="1"/>
        <v>13970</v>
      </c>
      <c r="BI4" s="110">
        <f t="shared" si="1"/>
        <v>13970</v>
      </c>
      <c r="BJ4" s="110">
        <f t="shared" si="1"/>
        <v>13970</v>
      </c>
      <c r="BK4" s="110">
        <f t="shared" si="1"/>
        <v>13970</v>
      </c>
      <c r="BL4" s="110">
        <f t="shared" si="1"/>
        <v>13970</v>
      </c>
      <c r="BM4" s="110">
        <f t="shared" si="1"/>
        <v>13970</v>
      </c>
      <c r="BN4" s="110">
        <f t="shared" si="1"/>
        <v>13970</v>
      </c>
      <c r="BO4" s="110">
        <f t="shared" si="1"/>
        <v>13970</v>
      </c>
      <c r="BP4" s="110">
        <f t="shared" si="1"/>
        <v>13970</v>
      </c>
      <c r="BQ4" s="110">
        <f t="shared" si="1"/>
        <v>13970</v>
      </c>
      <c r="BR4" s="110">
        <f t="shared" si="1"/>
        <v>13970</v>
      </c>
      <c r="BS4" s="110">
        <f t="shared" si="1"/>
        <v>13970</v>
      </c>
      <c r="BT4" s="110">
        <f t="shared" ref="BT4" si="2">BS4</f>
        <v>13970</v>
      </c>
      <c r="BU4" s="110">
        <f t="shared" ref="BU4" si="3">BT4</f>
        <v>13970</v>
      </c>
      <c r="BV4" s="110">
        <f t="shared" ref="BV4" si="4">BU4</f>
        <v>13970</v>
      </c>
      <c r="BW4" s="110">
        <f t="shared" ref="BW4" si="5">BV4</f>
        <v>13970</v>
      </c>
      <c r="BX4" s="110">
        <f t="shared" ref="BX4" si="6">BW4</f>
        <v>13970</v>
      </c>
      <c r="BY4" s="110">
        <f t="shared" ref="BY4" si="7">BX4</f>
        <v>13970</v>
      </c>
      <c r="BZ4" s="110">
        <f t="shared" ref="BZ4" si="8">BY4</f>
        <v>13970</v>
      </c>
      <c r="CA4" s="110">
        <f t="shared" ref="CA4" si="9">BZ4</f>
        <v>13970</v>
      </c>
      <c r="CB4" s="110">
        <f t="shared" ref="CB4" si="10">CA4</f>
        <v>13970</v>
      </c>
      <c r="CC4" s="110">
        <f t="shared" ref="CC4" si="11">CB4</f>
        <v>13970</v>
      </c>
      <c r="CD4" s="110">
        <f t="shared" ref="CD4" si="12">CC4</f>
        <v>13970</v>
      </c>
    </row>
    <row r="5" spans="2:82" ht="29" x14ac:dyDescent="0.35">
      <c r="B5" s="40" t="str">
        <f>'PROYECCIÓN FINANCIERA'!B22</f>
        <v>INVERISÓN REQUERIDA</v>
      </c>
      <c r="C5" s="113">
        <f>'PROYECCIÓN FINANCIERA'!C22</f>
        <v>263650</v>
      </c>
      <c r="D5" s="113">
        <f>'PROYECCIÓN FINANCIERA'!D22</f>
        <v>0</v>
      </c>
      <c r="E5" s="113">
        <f>'PROYECCIÓN FINANCIERA'!E22</f>
        <v>68650</v>
      </c>
      <c r="F5" s="113">
        <f>'PROYECCIÓN FINANCIERA'!F22</f>
        <v>0</v>
      </c>
      <c r="G5" s="113">
        <f>'PROYECCIÓN FINANCIERA'!G22</f>
        <v>68650</v>
      </c>
      <c r="H5" s="113">
        <f>'PROYECCIÓN FINANCIERA'!H22</f>
        <v>0</v>
      </c>
      <c r="I5" s="113">
        <f>'PROYECCIÓN FINANCIERA'!I22</f>
        <v>68650</v>
      </c>
      <c r="J5" s="113">
        <f>'PROYECCIÓN FINANCIERA'!J22</f>
        <v>0</v>
      </c>
      <c r="K5" s="113">
        <f>'PROYECCIÓN FINANCIERA'!K22</f>
        <v>68650</v>
      </c>
      <c r="L5" s="113">
        <f>'PROYECCIÓN FINANCIERA'!L22</f>
        <v>0</v>
      </c>
      <c r="M5" s="113">
        <f>K5</f>
        <v>68650</v>
      </c>
      <c r="N5" s="113">
        <f>L5</f>
        <v>0</v>
      </c>
      <c r="O5" s="113">
        <f>M5</f>
        <v>68650</v>
      </c>
      <c r="P5" s="113">
        <f t="shared" ref="P5:Z5" si="13">N5</f>
        <v>0</v>
      </c>
      <c r="Q5" s="113">
        <f t="shared" si="13"/>
        <v>68650</v>
      </c>
      <c r="R5" s="113">
        <f t="shared" si="13"/>
        <v>0</v>
      </c>
      <c r="S5" s="113">
        <f t="shared" si="13"/>
        <v>68650</v>
      </c>
      <c r="T5" s="113">
        <f t="shared" si="13"/>
        <v>0</v>
      </c>
      <c r="U5" s="113">
        <f t="shared" si="13"/>
        <v>68650</v>
      </c>
      <c r="V5" s="113">
        <f t="shared" si="13"/>
        <v>0</v>
      </c>
      <c r="W5" s="113">
        <f t="shared" si="13"/>
        <v>68650</v>
      </c>
      <c r="X5" s="113">
        <f t="shared" si="13"/>
        <v>0</v>
      </c>
      <c r="Y5" s="113">
        <f t="shared" si="13"/>
        <v>68650</v>
      </c>
      <c r="Z5" s="113">
        <f t="shared" si="13"/>
        <v>0</v>
      </c>
      <c r="AA5" s="113">
        <f t="shared" ref="AA5" si="14">Y5</f>
        <v>68650</v>
      </c>
      <c r="AB5" s="113">
        <f t="shared" ref="AB5" si="15">Z5</f>
        <v>0</v>
      </c>
      <c r="AC5" s="113">
        <f t="shared" ref="AC5" si="16">AA5</f>
        <v>68650</v>
      </c>
      <c r="AD5" s="113">
        <f t="shared" ref="AD5" si="17">AB5</f>
        <v>0</v>
      </c>
      <c r="AE5" s="113">
        <f t="shared" ref="AE5" si="18">AC5</f>
        <v>68650</v>
      </c>
      <c r="AF5" s="113">
        <f t="shared" ref="AF5" si="19">AD5</f>
        <v>0</v>
      </c>
      <c r="AG5" s="113">
        <f t="shared" ref="AG5" si="20">AE5</f>
        <v>68650</v>
      </c>
      <c r="AH5" s="113">
        <f t="shared" ref="AH5" si="21">AF5</f>
        <v>0</v>
      </c>
      <c r="AI5" s="113">
        <f t="shared" ref="AI5" si="22">AG5</f>
        <v>68650</v>
      </c>
      <c r="AJ5" s="113">
        <f t="shared" ref="AJ5" si="23">AH5</f>
        <v>0</v>
      </c>
      <c r="AK5" s="113">
        <f t="shared" ref="AK5" si="24">AI5</f>
        <v>68650</v>
      </c>
      <c r="AL5" s="113">
        <f t="shared" ref="AL5" si="25">AJ5</f>
        <v>0</v>
      </c>
      <c r="AM5" s="113">
        <f t="shared" ref="AM5" si="26">AK5</f>
        <v>68650</v>
      </c>
      <c r="AN5" s="113">
        <f t="shared" ref="AN5" si="27">AL5</f>
        <v>0</v>
      </c>
      <c r="AO5" s="113">
        <f t="shared" ref="AO5" si="28">AM5</f>
        <v>68650</v>
      </c>
      <c r="AP5" s="113">
        <f t="shared" ref="AP5" si="29">AN5</f>
        <v>0</v>
      </c>
      <c r="AQ5" s="113">
        <f t="shared" ref="AQ5" si="30">AO5</f>
        <v>68650</v>
      </c>
      <c r="AR5" s="113">
        <f t="shared" ref="AR5" si="31">AP5</f>
        <v>0</v>
      </c>
      <c r="AS5" s="133">
        <f>AQ5+280000-30000</f>
        <v>318650</v>
      </c>
      <c r="AT5" s="113">
        <f t="shared" ref="AT5" si="32">AR5</f>
        <v>0</v>
      </c>
      <c r="AU5" s="113">
        <f>AQ5-15000</f>
        <v>53650</v>
      </c>
      <c r="AV5" s="113">
        <f t="shared" ref="AV5" si="33">AT5</f>
        <v>0</v>
      </c>
      <c r="AW5" s="113">
        <f t="shared" ref="AW5" si="34">AU5</f>
        <v>53650</v>
      </c>
      <c r="AX5" s="113">
        <f t="shared" ref="AX5" si="35">AV5</f>
        <v>0</v>
      </c>
      <c r="AY5" s="113">
        <f t="shared" ref="AY5" si="36">AW5</f>
        <v>53650</v>
      </c>
      <c r="AZ5" s="113">
        <f t="shared" ref="AZ5" si="37">AX5</f>
        <v>0</v>
      </c>
      <c r="BA5" s="113">
        <f t="shared" ref="BA5" si="38">AY5</f>
        <v>53650</v>
      </c>
      <c r="BB5" s="113">
        <f t="shared" ref="BB5" si="39">AZ5</f>
        <v>0</v>
      </c>
      <c r="BC5" s="113">
        <f t="shared" ref="BC5" si="40">BA5</f>
        <v>53650</v>
      </c>
      <c r="BD5" s="113">
        <f t="shared" ref="BD5" si="41">BB5</f>
        <v>0</v>
      </c>
      <c r="BE5" s="113">
        <f t="shared" ref="BE5" si="42">BC5</f>
        <v>53650</v>
      </c>
      <c r="BF5" s="113">
        <f t="shared" ref="BF5" si="43">BD5</f>
        <v>0</v>
      </c>
      <c r="BG5" s="113">
        <f t="shared" ref="BG5" si="44">BE5</f>
        <v>53650</v>
      </c>
      <c r="BH5" s="113">
        <f t="shared" ref="BH5" si="45">BF5</f>
        <v>0</v>
      </c>
      <c r="BI5" s="113">
        <f t="shared" ref="BI5" si="46">BG5</f>
        <v>53650</v>
      </c>
      <c r="BJ5" s="113">
        <f t="shared" ref="BJ5" si="47">BH5</f>
        <v>0</v>
      </c>
      <c r="BK5" s="113">
        <f t="shared" ref="BK5" si="48">BI5</f>
        <v>53650</v>
      </c>
      <c r="BL5" s="113">
        <f t="shared" ref="BL5" si="49">BJ5</f>
        <v>0</v>
      </c>
      <c r="BM5" s="113">
        <f t="shared" ref="BM5" si="50">BK5</f>
        <v>53650</v>
      </c>
      <c r="BN5" s="113">
        <f t="shared" ref="BN5" si="51">BL5</f>
        <v>0</v>
      </c>
      <c r="BO5" s="113">
        <f t="shared" ref="BO5" si="52">BM5</f>
        <v>53650</v>
      </c>
      <c r="BP5" s="113">
        <f t="shared" ref="BP5" si="53">BN5</f>
        <v>0</v>
      </c>
      <c r="BQ5" s="113">
        <f t="shared" ref="BQ5" si="54">BO5</f>
        <v>53650</v>
      </c>
      <c r="BR5" s="113">
        <f t="shared" ref="BR5" si="55">BP5</f>
        <v>0</v>
      </c>
      <c r="BS5" s="113">
        <f t="shared" ref="BS5" si="56">BQ5</f>
        <v>53650</v>
      </c>
      <c r="BT5" s="113">
        <f t="shared" ref="BT5" si="57">BR5</f>
        <v>0</v>
      </c>
      <c r="BU5" s="113">
        <f t="shared" ref="BU5" si="58">BS5</f>
        <v>53650</v>
      </c>
      <c r="BV5" s="113">
        <f t="shared" ref="BV5" si="59">BT5</f>
        <v>0</v>
      </c>
      <c r="BW5" s="113">
        <f t="shared" ref="BW5" si="60">BU5</f>
        <v>53650</v>
      </c>
      <c r="BX5" s="113">
        <f t="shared" ref="BX5" si="61">BV5</f>
        <v>0</v>
      </c>
      <c r="BY5" s="113">
        <f t="shared" ref="BY5" si="62">BW5</f>
        <v>53650</v>
      </c>
      <c r="BZ5" s="113">
        <f t="shared" ref="BZ5" si="63">BX5</f>
        <v>0</v>
      </c>
      <c r="CA5" s="113">
        <f t="shared" ref="CA5" si="64">BY5</f>
        <v>53650</v>
      </c>
      <c r="CB5" s="113">
        <f t="shared" ref="CB5" si="65">BZ5</f>
        <v>0</v>
      </c>
      <c r="CC5" s="113">
        <f t="shared" ref="CC5" si="66">CA5</f>
        <v>53650</v>
      </c>
      <c r="CD5" s="113">
        <f t="shared" ref="CD5" si="67">CB5</f>
        <v>0</v>
      </c>
    </row>
    <row r="6" spans="2:82" ht="29" x14ac:dyDescent="0.35">
      <c r="B6" s="131" t="str">
        <f>'PROYECCIÓN FINANCIERA'!B23</f>
        <v>MONTO A FINANCIAR</v>
      </c>
      <c r="C6" s="113">
        <f>'PROYECCIÓN FINANCIERA'!C23</f>
        <v>77620</v>
      </c>
      <c r="D6" s="113">
        <f>'PROYECCIÓN FINANCIERA'!D23</f>
        <v>0</v>
      </c>
      <c r="E6" s="113">
        <f>'PROYECCIÓN FINANCIERA'!E23</f>
        <v>0</v>
      </c>
      <c r="F6" s="113">
        <f>'PROYECCIÓN FINANCIERA'!F23</f>
        <v>0</v>
      </c>
      <c r="G6" s="113">
        <f>'PROYECCIÓN FINANCIERA'!G23</f>
        <v>0</v>
      </c>
      <c r="H6" s="113">
        <f>'PROYECCIÓN FINANCIERA'!H23</f>
        <v>0</v>
      </c>
      <c r="I6" s="113">
        <f>'PROYECCIÓN FINANCIERA'!I23</f>
        <v>0</v>
      </c>
      <c r="J6" s="113">
        <f>'PROYECCIÓN FINANCIERA'!J23</f>
        <v>0</v>
      </c>
      <c r="K6" s="113">
        <f>'PROYECCIÓN FINANCIERA'!K23</f>
        <v>0</v>
      </c>
      <c r="L6" s="113">
        <f>'PROYECCIÓN FINANCIERA'!L23</f>
        <v>0</v>
      </c>
      <c r="M6" s="113">
        <v>0</v>
      </c>
      <c r="N6" s="113">
        <v>0</v>
      </c>
      <c r="O6" s="113">
        <v>0</v>
      </c>
      <c r="P6" s="113">
        <v>0</v>
      </c>
      <c r="Q6" s="113">
        <v>0</v>
      </c>
      <c r="R6" s="113">
        <v>0</v>
      </c>
      <c r="S6" s="113">
        <v>0</v>
      </c>
      <c r="T6" s="113">
        <v>0</v>
      </c>
      <c r="U6" s="113">
        <v>0</v>
      </c>
      <c r="V6" s="113">
        <v>0</v>
      </c>
      <c r="W6" s="113">
        <v>0</v>
      </c>
      <c r="X6" s="113">
        <v>0</v>
      </c>
      <c r="Y6" s="113">
        <v>0</v>
      </c>
      <c r="Z6" s="113">
        <v>0</v>
      </c>
      <c r="AA6" s="113">
        <v>0</v>
      </c>
      <c r="AB6" s="113">
        <v>0</v>
      </c>
      <c r="AC6" s="113">
        <v>0</v>
      </c>
      <c r="AD6" s="113">
        <v>0</v>
      </c>
      <c r="AE6" s="113">
        <v>0</v>
      </c>
      <c r="AF6" s="113">
        <v>0</v>
      </c>
      <c r="AG6" s="113">
        <v>0</v>
      </c>
      <c r="AH6" s="113">
        <v>0</v>
      </c>
      <c r="AI6" s="113">
        <v>0</v>
      </c>
      <c r="AJ6" s="113">
        <v>0</v>
      </c>
      <c r="AK6" s="113">
        <v>0</v>
      </c>
      <c r="AL6" s="113">
        <v>0</v>
      </c>
      <c r="AM6" s="113">
        <v>0</v>
      </c>
      <c r="AN6" s="113">
        <v>0</v>
      </c>
      <c r="AO6" s="113">
        <v>0</v>
      </c>
      <c r="AP6" s="113">
        <v>0</v>
      </c>
      <c r="AQ6" s="113">
        <v>0</v>
      </c>
      <c r="AR6" s="113">
        <v>0</v>
      </c>
      <c r="AS6" s="113">
        <v>0</v>
      </c>
      <c r="AT6" s="113">
        <v>0</v>
      </c>
      <c r="AU6" s="113">
        <v>0</v>
      </c>
      <c r="AV6" s="113">
        <v>0</v>
      </c>
      <c r="AW6" s="113">
        <v>0</v>
      </c>
      <c r="AX6" s="113">
        <v>0</v>
      </c>
      <c r="AY6" s="113">
        <v>0</v>
      </c>
      <c r="AZ6" s="113">
        <v>0</v>
      </c>
      <c r="BA6" s="113">
        <v>0</v>
      </c>
      <c r="BB6" s="113">
        <v>0</v>
      </c>
      <c r="BC6" s="113">
        <v>0</v>
      </c>
      <c r="BD6" s="113">
        <v>0</v>
      </c>
      <c r="BE6" s="113">
        <v>0</v>
      </c>
      <c r="BF6" s="113">
        <v>0</v>
      </c>
      <c r="BG6" s="113">
        <v>0</v>
      </c>
      <c r="BH6" s="113">
        <v>0</v>
      </c>
      <c r="BI6" s="113">
        <v>0</v>
      </c>
      <c r="BJ6" s="113">
        <v>0</v>
      </c>
      <c r="BK6" s="113">
        <v>0</v>
      </c>
      <c r="BL6" s="113">
        <v>0</v>
      </c>
      <c r="BM6" s="113">
        <v>0</v>
      </c>
      <c r="BN6" s="113">
        <v>0</v>
      </c>
      <c r="BO6" s="113">
        <v>0</v>
      </c>
      <c r="BP6" s="113">
        <v>0</v>
      </c>
      <c r="BQ6" s="113">
        <v>0</v>
      </c>
      <c r="BR6" s="113">
        <v>0</v>
      </c>
      <c r="BS6" s="113">
        <v>0</v>
      </c>
      <c r="BT6" s="113">
        <v>0</v>
      </c>
      <c r="BU6" s="113">
        <v>0</v>
      </c>
      <c r="BV6" s="113">
        <v>0</v>
      </c>
      <c r="BW6" s="113">
        <v>0</v>
      </c>
      <c r="BX6" s="113">
        <v>0</v>
      </c>
      <c r="BY6" s="113">
        <v>0</v>
      </c>
      <c r="BZ6" s="113">
        <v>0</v>
      </c>
      <c r="CA6" s="113">
        <v>0</v>
      </c>
      <c r="CB6" s="113">
        <v>0</v>
      </c>
      <c r="CC6" s="113">
        <v>0</v>
      </c>
      <c r="CD6" s="113">
        <v>0</v>
      </c>
    </row>
    <row r="7" spans="2:82" ht="29" x14ac:dyDescent="0.35">
      <c r="B7" s="40" t="str">
        <f>'PROYECCIÓN FINANCIERA'!B24</f>
        <v>CRÉDITO A SOLICITAR</v>
      </c>
      <c r="C7" s="113">
        <f>'PROYECCIÓN FINANCIERA'!C24</f>
        <v>137829.6</v>
      </c>
      <c r="D7" s="113">
        <f>'PROYECCIÓN FINANCIERA'!D24</f>
        <v>0</v>
      </c>
      <c r="E7" s="113">
        <f>'PROYECCIÓN FINANCIERA'!E24</f>
        <v>0</v>
      </c>
      <c r="F7" s="113">
        <f>'PROYECCIÓN FINANCIERA'!F24</f>
        <v>0</v>
      </c>
      <c r="G7" s="113">
        <f>'PROYECCIÓN FINANCIERA'!G24</f>
        <v>0</v>
      </c>
      <c r="H7" s="113">
        <f>'PROYECCIÓN FINANCIERA'!H24</f>
        <v>0</v>
      </c>
      <c r="I7" s="113">
        <f>'PROYECCIÓN FINANCIERA'!I24</f>
        <v>0</v>
      </c>
      <c r="J7" s="113">
        <f>'PROYECCIÓN FINANCIERA'!J24</f>
        <v>0</v>
      </c>
      <c r="K7" s="113">
        <f>'PROYECCIÓN FINANCIERA'!K24</f>
        <v>0</v>
      </c>
      <c r="L7" s="113">
        <f>'PROYECCIÓN FINANCIERA'!L24</f>
        <v>0</v>
      </c>
      <c r="M7" s="113">
        <v>0</v>
      </c>
      <c r="N7" s="113">
        <v>0</v>
      </c>
      <c r="O7" s="113">
        <v>0</v>
      </c>
      <c r="P7" s="113">
        <v>0</v>
      </c>
      <c r="Q7" s="113">
        <v>0</v>
      </c>
      <c r="R7" s="113">
        <v>0</v>
      </c>
      <c r="S7" s="113">
        <v>0</v>
      </c>
      <c r="T7" s="113">
        <v>0</v>
      </c>
      <c r="U7" s="113">
        <v>0</v>
      </c>
      <c r="V7" s="113">
        <v>0</v>
      </c>
      <c r="W7" s="113">
        <v>0</v>
      </c>
      <c r="X7" s="113">
        <v>0</v>
      </c>
      <c r="Y7" s="113">
        <v>0</v>
      </c>
      <c r="Z7" s="113">
        <v>0</v>
      </c>
      <c r="AA7" s="113">
        <v>0</v>
      </c>
      <c r="AB7" s="113">
        <v>0</v>
      </c>
      <c r="AC7" s="113">
        <v>0</v>
      </c>
      <c r="AD7" s="113">
        <v>0</v>
      </c>
      <c r="AE7" s="113">
        <v>0</v>
      </c>
      <c r="AF7" s="113">
        <v>0</v>
      </c>
      <c r="AG7" s="113">
        <v>0</v>
      </c>
      <c r="AH7" s="113">
        <v>0</v>
      </c>
      <c r="AI7" s="113">
        <v>0</v>
      </c>
      <c r="AJ7" s="113">
        <v>0</v>
      </c>
      <c r="AK7" s="113">
        <v>0</v>
      </c>
      <c r="AL7" s="113">
        <v>0</v>
      </c>
      <c r="AM7" s="113">
        <v>0</v>
      </c>
      <c r="AN7" s="113">
        <v>0</v>
      </c>
      <c r="AO7" s="113">
        <v>0</v>
      </c>
      <c r="AP7" s="113">
        <v>0</v>
      </c>
      <c r="AQ7" s="113">
        <v>0</v>
      </c>
      <c r="AR7" s="113">
        <v>0</v>
      </c>
      <c r="AS7" s="113">
        <v>0</v>
      </c>
      <c r="AT7" s="113">
        <v>0</v>
      </c>
      <c r="AU7" s="113">
        <v>0</v>
      </c>
      <c r="AV7" s="113">
        <v>0</v>
      </c>
      <c r="AW7" s="113">
        <v>0</v>
      </c>
      <c r="AX7" s="113">
        <v>0</v>
      </c>
      <c r="AY7" s="113">
        <v>0</v>
      </c>
      <c r="AZ7" s="113">
        <v>0</v>
      </c>
      <c r="BA7" s="113">
        <v>0</v>
      </c>
      <c r="BB7" s="113">
        <v>0</v>
      </c>
      <c r="BC7" s="113">
        <v>0</v>
      </c>
      <c r="BD7" s="113">
        <v>0</v>
      </c>
      <c r="BE7" s="113">
        <v>0</v>
      </c>
      <c r="BF7" s="113">
        <v>0</v>
      </c>
      <c r="BG7" s="113">
        <v>0</v>
      </c>
      <c r="BH7" s="113">
        <v>0</v>
      </c>
      <c r="BI7" s="113">
        <v>0</v>
      </c>
      <c r="BJ7" s="113">
        <v>0</v>
      </c>
      <c r="BK7" s="113">
        <v>0</v>
      </c>
      <c r="BL7" s="113">
        <v>0</v>
      </c>
      <c r="BM7" s="113">
        <v>0</v>
      </c>
      <c r="BN7" s="113">
        <v>0</v>
      </c>
      <c r="BO7" s="113">
        <v>0</v>
      </c>
      <c r="BP7" s="113">
        <v>0</v>
      </c>
      <c r="BQ7" s="113">
        <v>0</v>
      </c>
      <c r="BR7" s="113">
        <v>0</v>
      </c>
      <c r="BS7" s="113">
        <v>0</v>
      </c>
      <c r="BT7" s="113">
        <v>0</v>
      </c>
      <c r="BU7" s="113">
        <v>0</v>
      </c>
      <c r="BV7" s="113">
        <v>0</v>
      </c>
      <c r="BW7" s="113">
        <v>0</v>
      </c>
      <c r="BX7" s="113">
        <v>0</v>
      </c>
      <c r="BY7" s="113">
        <v>0</v>
      </c>
      <c r="BZ7" s="113">
        <v>0</v>
      </c>
      <c r="CA7" s="113">
        <v>0</v>
      </c>
      <c r="CB7" s="113">
        <v>0</v>
      </c>
      <c r="CC7" s="113">
        <v>0</v>
      </c>
      <c r="CD7" s="113">
        <v>0</v>
      </c>
    </row>
    <row r="8" spans="2:82" ht="29" x14ac:dyDescent="0.35">
      <c r="B8" s="40" t="str">
        <f>'PROYECCIÓN FINANCIERA'!B25</f>
        <v>AMORTIZACIÓN DEL PAGO</v>
      </c>
      <c r="C8" s="113">
        <f>'PROYECCIÓN FINANCIERA'!C25</f>
        <v>0</v>
      </c>
      <c r="D8" s="113">
        <f>'PROYECCIÓN FINANCIERA'!D25</f>
        <v>0</v>
      </c>
      <c r="E8" s="113">
        <f>'PROYECCIÓN FINANCIERA'!E25</f>
        <v>13182</v>
      </c>
      <c r="F8" s="113">
        <f>'PROYECCIÓN FINANCIERA'!F25</f>
        <v>0</v>
      </c>
      <c r="G8" s="113">
        <f>'PROYECCIÓN FINANCIERA'!G25</f>
        <v>13182</v>
      </c>
      <c r="H8" s="113">
        <f>'PROYECCIÓN FINANCIERA'!H25</f>
        <v>0</v>
      </c>
      <c r="I8" s="113">
        <f>'PROYECCIÓN FINANCIERA'!I25</f>
        <v>13182</v>
      </c>
      <c r="J8" s="113">
        <f>'PROYECCIÓN FINANCIERA'!J25</f>
        <v>0</v>
      </c>
      <c r="K8" s="113">
        <f>'PROYECCIÓN FINANCIERA'!K25</f>
        <v>13182</v>
      </c>
      <c r="L8" s="113">
        <f>'PROYECCIÓN FINANCIERA'!L25</f>
        <v>0</v>
      </c>
      <c r="M8" s="113">
        <f>K8</f>
        <v>13182</v>
      </c>
      <c r="N8" s="113">
        <f>L8</f>
        <v>0</v>
      </c>
      <c r="O8" s="113">
        <f t="shared" ref="O8:Z10" si="68">M8</f>
        <v>13182</v>
      </c>
      <c r="P8" s="113">
        <f t="shared" si="68"/>
        <v>0</v>
      </c>
      <c r="Q8" s="113">
        <f t="shared" si="68"/>
        <v>13182</v>
      </c>
      <c r="R8" s="113">
        <f t="shared" si="68"/>
        <v>0</v>
      </c>
      <c r="S8" s="113">
        <f t="shared" si="68"/>
        <v>13182</v>
      </c>
      <c r="T8" s="113">
        <f t="shared" si="68"/>
        <v>0</v>
      </c>
      <c r="U8" s="113">
        <f t="shared" si="68"/>
        <v>13182</v>
      </c>
      <c r="V8" s="113">
        <f t="shared" si="68"/>
        <v>0</v>
      </c>
      <c r="W8" s="113">
        <f t="shared" si="68"/>
        <v>13182</v>
      </c>
      <c r="X8" s="113">
        <f t="shared" si="68"/>
        <v>0</v>
      </c>
      <c r="Y8" s="113">
        <f t="shared" si="68"/>
        <v>13182</v>
      </c>
      <c r="Z8" s="113">
        <f t="shared" si="68"/>
        <v>0</v>
      </c>
      <c r="AA8" s="113">
        <f>Y8</f>
        <v>13182</v>
      </c>
      <c r="AB8" s="113">
        <f>Z8</f>
        <v>0</v>
      </c>
      <c r="AC8" s="113">
        <f t="shared" ref="AC8:AL10" si="69">AA8</f>
        <v>13182</v>
      </c>
      <c r="AD8" s="113">
        <f t="shared" si="69"/>
        <v>0</v>
      </c>
      <c r="AE8" s="113">
        <f t="shared" si="69"/>
        <v>13182</v>
      </c>
      <c r="AF8" s="113">
        <f t="shared" si="69"/>
        <v>0</v>
      </c>
      <c r="AG8" s="113">
        <f t="shared" si="69"/>
        <v>13182</v>
      </c>
      <c r="AH8" s="113">
        <f t="shared" si="69"/>
        <v>0</v>
      </c>
      <c r="AI8" s="113">
        <f t="shared" si="69"/>
        <v>13182</v>
      </c>
      <c r="AJ8" s="113">
        <f t="shared" si="69"/>
        <v>0</v>
      </c>
      <c r="AK8" s="113">
        <f t="shared" si="69"/>
        <v>13182</v>
      </c>
      <c r="AL8" s="113">
        <f t="shared" si="69"/>
        <v>0</v>
      </c>
      <c r="AM8" s="113">
        <f t="shared" ref="AM8" si="70">AK8</f>
        <v>13182</v>
      </c>
      <c r="AN8" s="113">
        <f t="shared" ref="AN8" si="71">AL8</f>
        <v>0</v>
      </c>
      <c r="AO8" s="113">
        <f t="shared" ref="AO8" si="72">AM8</f>
        <v>13182</v>
      </c>
      <c r="AP8" s="113">
        <f t="shared" ref="AP8" si="73">AN8</f>
        <v>0</v>
      </c>
      <c r="AQ8" s="113">
        <f t="shared" ref="AQ8" si="74">AO8</f>
        <v>13182</v>
      </c>
      <c r="AR8" s="113">
        <f t="shared" ref="AR8" si="75">AP8</f>
        <v>0</v>
      </c>
      <c r="AS8" s="113">
        <f t="shared" ref="AS8" si="76">AQ8</f>
        <v>13182</v>
      </c>
      <c r="AT8" s="113">
        <f t="shared" ref="AT8" si="77">AR8</f>
        <v>0</v>
      </c>
      <c r="AU8" s="113">
        <f t="shared" ref="AU8" si="78">AS8</f>
        <v>13182</v>
      </c>
      <c r="AV8" s="113">
        <f t="shared" ref="AV8" si="79">AT8</f>
        <v>0</v>
      </c>
      <c r="AW8" s="113">
        <f t="shared" ref="AW8" si="80">AU8</f>
        <v>13182</v>
      </c>
      <c r="AX8" s="113">
        <f t="shared" ref="AX8" si="81">AV8</f>
        <v>0</v>
      </c>
      <c r="AY8" s="113">
        <f t="shared" ref="AY8:AY10" si="82">AW8</f>
        <v>13182</v>
      </c>
      <c r="AZ8" s="113">
        <f t="shared" ref="AZ8:AZ10" si="83">AX8</f>
        <v>0</v>
      </c>
      <c r="BA8" s="133">
        <v>0</v>
      </c>
      <c r="BB8" s="113">
        <f t="shared" ref="BB8:BB10" si="84">AZ8</f>
        <v>0</v>
      </c>
      <c r="BC8" s="113">
        <f t="shared" ref="BC8:BC10" si="85">BA8</f>
        <v>0</v>
      </c>
      <c r="BD8" s="113">
        <f t="shared" ref="BD8:BD10" si="86">BB8</f>
        <v>0</v>
      </c>
      <c r="BE8" s="113">
        <f t="shared" ref="BE8:BE10" si="87">BC8</f>
        <v>0</v>
      </c>
      <c r="BF8" s="113">
        <f t="shared" ref="BF8:BF10" si="88">BD8</f>
        <v>0</v>
      </c>
      <c r="BG8" s="113">
        <f t="shared" ref="BG8:BG10" si="89">BE8</f>
        <v>0</v>
      </c>
      <c r="BH8" s="113">
        <f t="shared" ref="BH8:BH10" si="90">BF8</f>
        <v>0</v>
      </c>
      <c r="BI8" s="113">
        <f t="shared" ref="BI8:BI10" si="91">BG8</f>
        <v>0</v>
      </c>
      <c r="BJ8" s="113">
        <f t="shared" ref="BJ8:BJ10" si="92">BH8</f>
        <v>0</v>
      </c>
      <c r="BK8" s="113">
        <f t="shared" ref="BK8:BK10" si="93">BI8</f>
        <v>0</v>
      </c>
      <c r="BL8" s="113">
        <f t="shared" ref="BL8:BL10" si="94">BJ8</f>
        <v>0</v>
      </c>
      <c r="BM8" s="113">
        <f t="shared" ref="BM8:BM10" si="95">BK8</f>
        <v>0</v>
      </c>
      <c r="BN8" s="113">
        <f t="shared" ref="BN8:BN10" si="96">BL8</f>
        <v>0</v>
      </c>
      <c r="BO8" s="113">
        <f t="shared" ref="BO8:BO10" si="97">BM8</f>
        <v>0</v>
      </c>
      <c r="BP8" s="113">
        <f t="shared" ref="BP8:BP10" si="98">BN8</f>
        <v>0</v>
      </c>
      <c r="BQ8" s="113">
        <f t="shared" ref="BQ8:BQ10" si="99">BO8</f>
        <v>0</v>
      </c>
      <c r="BR8" s="113">
        <f t="shared" ref="BR8:BR10" si="100">BP8</f>
        <v>0</v>
      </c>
      <c r="BS8" s="113">
        <f t="shared" ref="BS8:BS10" si="101">BQ8</f>
        <v>0</v>
      </c>
      <c r="BT8" s="113">
        <f t="shared" ref="BT8:BT10" si="102">BR8</f>
        <v>0</v>
      </c>
      <c r="BU8" s="113">
        <f t="shared" ref="BU8:BU10" si="103">BS8</f>
        <v>0</v>
      </c>
      <c r="BV8" s="113">
        <f t="shared" ref="BV8:BV10" si="104">BT8</f>
        <v>0</v>
      </c>
      <c r="BW8" s="113">
        <f t="shared" ref="BW8" si="105">BU8</f>
        <v>0</v>
      </c>
      <c r="BX8" s="113">
        <f t="shared" ref="BX8" si="106">BV8</f>
        <v>0</v>
      </c>
      <c r="BY8" s="113">
        <f t="shared" ref="BY8" si="107">BW8</f>
        <v>0</v>
      </c>
      <c r="BZ8" s="113">
        <f t="shared" ref="BZ8" si="108">BX8</f>
        <v>0</v>
      </c>
      <c r="CA8" s="113">
        <f t="shared" ref="CA8" si="109">BY8</f>
        <v>0</v>
      </c>
      <c r="CB8" s="113">
        <f t="shared" ref="CB8" si="110">BZ8</f>
        <v>0</v>
      </c>
      <c r="CC8" s="113">
        <f t="shared" ref="CC8" si="111">CA8</f>
        <v>0</v>
      </c>
      <c r="CD8" s="113">
        <f t="shared" ref="CD8" si="112">CB8</f>
        <v>0</v>
      </c>
    </row>
    <row r="9" spans="2:82" ht="29" x14ac:dyDescent="0.35">
      <c r="B9" s="40" t="s">
        <v>177</v>
      </c>
      <c r="C9" s="113">
        <v>0</v>
      </c>
      <c r="D9" s="113">
        <v>0</v>
      </c>
      <c r="E9" s="113">
        <v>0</v>
      </c>
      <c r="F9" s="113">
        <v>0</v>
      </c>
      <c r="G9" s="113">
        <v>0</v>
      </c>
      <c r="H9" s="113">
        <v>0</v>
      </c>
      <c r="I9" s="113">
        <v>0</v>
      </c>
      <c r="J9" s="113">
        <v>0</v>
      </c>
      <c r="K9" s="113">
        <v>0</v>
      </c>
      <c r="L9" s="113">
        <v>0</v>
      </c>
      <c r="M9" s="113">
        <v>0</v>
      </c>
      <c r="N9" s="113">
        <v>0</v>
      </c>
      <c r="O9" s="113">
        <v>0</v>
      </c>
      <c r="P9" s="113">
        <v>0</v>
      </c>
      <c r="Q9" s="113">
        <v>0</v>
      </c>
      <c r="R9" s="113">
        <v>0</v>
      </c>
      <c r="S9" s="113">
        <v>0</v>
      </c>
      <c r="T9" s="113">
        <v>0</v>
      </c>
      <c r="U9" s="113">
        <v>0</v>
      </c>
      <c r="V9" s="113">
        <v>0</v>
      </c>
      <c r="W9" s="113">
        <v>0</v>
      </c>
      <c r="X9" s="113">
        <v>0</v>
      </c>
      <c r="Y9" s="113">
        <v>0</v>
      </c>
      <c r="Z9" s="113">
        <v>0</v>
      </c>
      <c r="AA9" s="113">
        <v>0</v>
      </c>
      <c r="AB9" s="113">
        <v>0</v>
      </c>
      <c r="AC9" s="113">
        <v>0</v>
      </c>
      <c r="AD9" s="113">
        <v>0</v>
      </c>
      <c r="AE9" s="113">
        <v>0</v>
      </c>
      <c r="AF9" s="113">
        <v>0</v>
      </c>
      <c r="AG9" s="113">
        <v>0</v>
      </c>
      <c r="AH9" s="113">
        <v>0</v>
      </c>
      <c r="AI9" s="113">
        <v>0</v>
      </c>
      <c r="AJ9" s="113">
        <v>0</v>
      </c>
      <c r="AK9" s="113">
        <v>0</v>
      </c>
      <c r="AL9" s="113">
        <v>0</v>
      </c>
      <c r="AM9" s="113">
        <v>0</v>
      </c>
      <c r="AN9" s="113">
        <v>0</v>
      </c>
      <c r="AO9" s="113">
        <v>0</v>
      </c>
      <c r="AP9" s="113">
        <v>0</v>
      </c>
      <c r="AQ9" s="113">
        <v>0</v>
      </c>
      <c r="AR9" s="113">
        <v>0</v>
      </c>
      <c r="AS9" s="113">
        <v>0</v>
      </c>
      <c r="AT9" s="113">
        <v>80000</v>
      </c>
      <c r="AU9" s="113">
        <v>0</v>
      </c>
      <c r="AV9" s="113">
        <v>0</v>
      </c>
      <c r="AW9" s="113">
        <v>0</v>
      </c>
      <c r="AX9" s="113">
        <v>0</v>
      </c>
      <c r="AY9" s="113">
        <v>50000</v>
      </c>
      <c r="AZ9" s="113">
        <v>0</v>
      </c>
      <c r="BA9" s="113">
        <v>0</v>
      </c>
      <c r="BB9" s="113">
        <v>0</v>
      </c>
      <c r="BC9" s="113">
        <v>0</v>
      </c>
      <c r="BD9" s="113">
        <v>0</v>
      </c>
      <c r="BE9" s="113">
        <v>0</v>
      </c>
      <c r="BF9" s="113">
        <v>0</v>
      </c>
      <c r="BG9" s="113">
        <v>125000</v>
      </c>
      <c r="BH9" s="113">
        <v>0</v>
      </c>
      <c r="BI9" s="113">
        <v>0</v>
      </c>
      <c r="BJ9" s="113">
        <v>0</v>
      </c>
      <c r="BK9" s="113">
        <v>0</v>
      </c>
      <c r="BL9" s="113">
        <v>0</v>
      </c>
      <c r="BM9" s="113">
        <v>0</v>
      </c>
      <c r="BN9" s="113">
        <v>0</v>
      </c>
      <c r="BO9" s="113">
        <v>0</v>
      </c>
      <c r="BP9" s="113">
        <v>0</v>
      </c>
      <c r="BQ9" s="113">
        <v>0</v>
      </c>
      <c r="BR9" s="113">
        <v>0</v>
      </c>
      <c r="BS9" s="113">
        <v>0</v>
      </c>
      <c r="BT9" s="113">
        <v>0</v>
      </c>
      <c r="BU9" s="113">
        <v>0</v>
      </c>
      <c r="BV9" s="113">
        <v>0</v>
      </c>
      <c r="BW9" s="113">
        <v>1</v>
      </c>
      <c r="BX9" s="113">
        <v>2</v>
      </c>
      <c r="BY9" s="113">
        <v>3</v>
      </c>
      <c r="BZ9" s="113">
        <v>4</v>
      </c>
      <c r="CA9" s="113">
        <v>5</v>
      </c>
      <c r="CB9" s="113">
        <v>6</v>
      </c>
      <c r="CC9" s="113">
        <v>7</v>
      </c>
      <c r="CD9" s="113">
        <v>8</v>
      </c>
    </row>
    <row r="10" spans="2:82" ht="29" x14ac:dyDescent="0.35">
      <c r="B10" s="40" t="str">
        <f>'PROYECCIÓN FINANCIERA'!B26</f>
        <v>INGRESOS A RECIBIR</v>
      </c>
      <c r="C10" s="113">
        <f>'PROYECCIÓN FINANCIERA'!C26</f>
        <v>0</v>
      </c>
      <c r="D10" s="113">
        <f>'PROYECCIÓN FINANCIERA'!D26</f>
        <v>63180</v>
      </c>
      <c r="E10" s="113">
        <f>'PROYECCIÓN FINANCIERA'!E26</f>
        <v>0</v>
      </c>
      <c r="F10" s="113">
        <f>'PROYECCIÓN FINANCIERA'!F26</f>
        <v>126360</v>
      </c>
      <c r="G10" s="113">
        <f>'PROYECCIÓN FINANCIERA'!G26</f>
        <v>0</v>
      </c>
      <c r="H10" s="113">
        <f>'PROYECCIÓN FINANCIERA'!H26</f>
        <v>126360</v>
      </c>
      <c r="I10" s="113">
        <f>'PROYECCIÓN FINANCIERA'!I26</f>
        <v>0</v>
      </c>
      <c r="J10" s="113">
        <f>'PROYECCIÓN FINANCIERA'!J26</f>
        <v>126360</v>
      </c>
      <c r="K10" s="113">
        <f>'PROYECCIÓN FINANCIERA'!K26</f>
        <v>0</v>
      </c>
      <c r="L10" s="113">
        <f>'PROYECCIÓN FINANCIERA'!L26</f>
        <v>126360</v>
      </c>
      <c r="M10" s="113">
        <f>K10</f>
        <v>0</v>
      </c>
      <c r="N10" s="113">
        <f>L10</f>
        <v>126360</v>
      </c>
      <c r="O10" s="113">
        <f t="shared" si="68"/>
        <v>0</v>
      </c>
      <c r="P10" s="113">
        <f t="shared" si="68"/>
        <v>126360</v>
      </c>
      <c r="Q10" s="113">
        <f t="shared" si="68"/>
        <v>0</v>
      </c>
      <c r="R10" s="113">
        <f t="shared" si="68"/>
        <v>126360</v>
      </c>
      <c r="S10" s="113">
        <f t="shared" si="68"/>
        <v>0</v>
      </c>
      <c r="T10" s="113">
        <f t="shared" si="68"/>
        <v>126360</v>
      </c>
      <c r="U10" s="113">
        <f t="shared" si="68"/>
        <v>0</v>
      </c>
      <c r="V10" s="113">
        <f t="shared" si="68"/>
        <v>126360</v>
      </c>
      <c r="W10" s="113">
        <f t="shared" si="68"/>
        <v>0</v>
      </c>
      <c r="X10" s="113">
        <f t="shared" si="68"/>
        <v>126360</v>
      </c>
      <c r="Y10" s="113">
        <f t="shared" si="68"/>
        <v>0</v>
      </c>
      <c r="Z10" s="113">
        <f t="shared" si="68"/>
        <v>126360</v>
      </c>
      <c r="AA10" s="113">
        <f t="shared" ref="AA10" si="113">Y10</f>
        <v>0</v>
      </c>
      <c r="AB10" s="113">
        <f t="shared" ref="AB10" si="114">Z10</f>
        <v>126360</v>
      </c>
      <c r="AC10" s="113">
        <f t="shared" si="69"/>
        <v>0</v>
      </c>
      <c r="AD10" s="113">
        <f t="shared" si="69"/>
        <v>126360</v>
      </c>
      <c r="AE10" s="113">
        <f t="shared" si="69"/>
        <v>0</v>
      </c>
      <c r="AF10" s="113">
        <f t="shared" si="69"/>
        <v>126360</v>
      </c>
      <c r="AG10" s="113">
        <f t="shared" si="69"/>
        <v>0</v>
      </c>
      <c r="AH10" s="113">
        <f t="shared" si="69"/>
        <v>126360</v>
      </c>
      <c r="AI10" s="113">
        <f t="shared" si="69"/>
        <v>0</v>
      </c>
      <c r="AJ10" s="113">
        <f t="shared" si="69"/>
        <v>126360</v>
      </c>
      <c r="AK10" s="113">
        <f t="shared" si="69"/>
        <v>0</v>
      </c>
      <c r="AL10" s="113">
        <f t="shared" si="69"/>
        <v>126360</v>
      </c>
      <c r="AM10" s="113">
        <f t="shared" ref="AM10" si="115">AK10</f>
        <v>0</v>
      </c>
      <c r="AN10" s="113">
        <f t="shared" ref="AN10" si="116">AL10</f>
        <v>126360</v>
      </c>
      <c r="AO10" s="113">
        <f t="shared" ref="AO10" si="117">AM10</f>
        <v>0</v>
      </c>
      <c r="AP10" s="113">
        <f t="shared" ref="AP10" si="118">AN10</f>
        <v>126360</v>
      </c>
      <c r="AQ10" s="113">
        <f t="shared" ref="AQ10" si="119">AO10</f>
        <v>0</v>
      </c>
      <c r="AR10" s="113">
        <f t="shared" ref="AR10" si="120">AP10</f>
        <v>126360</v>
      </c>
      <c r="AS10" s="113">
        <f t="shared" ref="AS10" si="121">AQ10</f>
        <v>0</v>
      </c>
      <c r="AT10" s="113">
        <f t="shared" ref="AT10" si="122">AR10</f>
        <v>126360</v>
      </c>
      <c r="AU10" s="113">
        <f t="shared" ref="AU10" si="123">AS10</f>
        <v>0</v>
      </c>
      <c r="AV10" s="113">
        <f t="shared" ref="AV10" si="124">AT10</f>
        <v>126360</v>
      </c>
      <c r="AW10" s="113">
        <f t="shared" ref="AW10" si="125">AU10</f>
        <v>0</v>
      </c>
      <c r="AX10" s="113">
        <f t="shared" ref="AX10" si="126">AV10</f>
        <v>126360</v>
      </c>
      <c r="AY10" s="113">
        <f t="shared" si="82"/>
        <v>0</v>
      </c>
      <c r="AZ10" s="113">
        <f t="shared" si="83"/>
        <v>126360</v>
      </c>
      <c r="BA10" s="113">
        <f t="shared" ref="BA10" si="127">AY10</f>
        <v>0</v>
      </c>
      <c r="BB10" s="113">
        <f t="shared" si="84"/>
        <v>126360</v>
      </c>
      <c r="BC10" s="113">
        <f t="shared" si="85"/>
        <v>0</v>
      </c>
      <c r="BD10" s="113">
        <f t="shared" si="86"/>
        <v>126360</v>
      </c>
      <c r="BE10" s="113">
        <f t="shared" si="87"/>
        <v>0</v>
      </c>
      <c r="BF10" s="113">
        <f t="shared" si="88"/>
        <v>126360</v>
      </c>
      <c r="BG10" s="113">
        <f t="shared" si="89"/>
        <v>0</v>
      </c>
      <c r="BH10" s="113">
        <f t="shared" si="90"/>
        <v>126360</v>
      </c>
      <c r="BI10" s="113">
        <f t="shared" si="91"/>
        <v>0</v>
      </c>
      <c r="BJ10" s="113">
        <f t="shared" si="92"/>
        <v>126360</v>
      </c>
      <c r="BK10" s="113">
        <f t="shared" si="93"/>
        <v>0</v>
      </c>
      <c r="BL10" s="113">
        <f t="shared" si="94"/>
        <v>126360</v>
      </c>
      <c r="BM10" s="113">
        <f t="shared" si="95"/>
        <v>0</v>
      </c>
      <c r="BN10" s="113">
        <f t="shared" si="96"/>
        <v>126360</v>
      </c>
      <c r="BO10" s="113">
        <f t="shared" si="97"/>
        <v>0</v>
      </c>
      <c r="BP10" s="113">
        <f t="shared" si="98"/>
        <v>126360</v>
      </c>
      <c r="BQ10" s="113">
        <f t="shared" si="99"/>
        <v>0</v>
      </c>
      <c r="BR10" s="113">
        <f t="shared" si="100"/>
        <v>126360</v>
      </c>
      <c r="BS10" s="113">
        <f t="shared" si="101"/>
        <v>0</v>
      </c>
      <c r="BT10" s="113">
        <f t="shared" si="102"/>
        <v>126360</v>
      </c>
      <c r="BU10" s="113">
        <f t="shared" si="103"/>
        <v>0</v>
      </c>
      <c r="BV10" s="113">
        <f t="shared" si="104"/>
        <v>126360</v>
      </c>
      <c r="BW10" s="113">
        <f t="shared" ref="BW10" si="128">BU10</f>
        <v>0</v>
      </c>
      <c r="BX10" s="113">
        <f t="shared" ref="BX10" si="129">BV10</f>
        <v>126360</v>
      </c>
      <c r="BY10" s="113">
        <f t="shared" ref="BY10" si="130">BW10</f>
        <v>0</v>
      </c>
      <c r="BZ10" s="113">
        <f t="shared" ref="BZ10" si="131">BX10</f>
        <v>126360</v>
      </c>
      <c r="CA10" s="113">
        <f t="shared" ref="CA10" si="132">BY10</f>
        <v>0</v>
      </c>
      <c r="CB10" s="113">
        <f t="shared" ref="CB10" si="133">BZ10</f>
        <v>126360</v>
      </c>
      <c r="CC10" s="113">
        <f t="shared" ref="CC10" si="134">CA10</f>
        <v>0</v>
      </c>
      <c r="CD10" s="113">
        <f t="shared" ref="CD10" si="135">CB10</f>
        <v>126360</v>
      </c>
    </row>
    <row r="11" spans="2:82" ht="15" thickBot="1" x14ac:dyDescent="0.4">
      <c r="B11" s="132" t="str">
        <f>'PROYECCIÓN FINANCIERA'!B27</f>
        <v>SALDO QUINCENAL</v>
      </c>
      <c r="C11" s="123">
        <f>'PROYECCIÓN FINANCIERA'!C27</f>
        <v>50000</v>
      </c>
      <c r="D11" s="123">
        <f>'PROYECCIÓN FINANCIERA'!D27</f>
        <v>99210</v>
      </c>
      <c r="E11" s="123">
        <f>'PROYECCIÓN FINANCIERA'!E27</f>
        <v>3408</v>
      </c>
      <c r="F11" s="123">
        <f>'PROYECCIÓN FINANCIERA'!F27</f>
        <v>115798</v>
      </c>
      <c r="G11" s="123">
        <f>'PROYECCIÓN FINANCIERA'!G27</f>
        <v>19996</v>
      </c>
      <c r="H11" s="123">
        <f>'PROYECCIÓN FINANCIERA'!H27</f>
        <v>132386</v>
      </c>
      <c r="I11" s="123">
        <f>'PROYECCIÓN FINANCIERA'!I27</f>
        <v>36584</v>
      </c>
      <c r="J11" s="123">
        <f>'PROYECCIÓN FINANCIERA'!J27</f>
        <v>148974</v>
      </c>
      <c r="K11" s="123">
        <f>'PROYECCIÓN FINANCIERA'!K27</f>
        <v>53172</v>
      </c>
      <c r="L11" s="123">
        <f>'PROYECCIÓN FINANCIERA'!L27</f>
        <v>165562</v>
      </c>
      <c r="M11" s="123">
        <f>L11+M10-M8-M4-M5</f>
        <v>69760</v>
      </c>
      <c r="N11" s="123">
        <f t="shared" ref="N11:Z11" si="136">M11+N10-N8-N4-N5</f>
        <v>182150</v>
      </c>
      <c r="O11" s="123">
        <f t="shared" si="136"/>
        <v>86348</v>
      </c>
      <c r="P11" s="123">
        <f t="shared" si="136"/>
        <v>198738</v>
      </c>
      <c r="Q11" s="123">
        <f t="shared" si="136"/>
        <v>102936</v>
      </c>
      <c r="R11" s="123">
        <f t="shared" si="136"/>
        <v>215326</v>
      </c>
      <c r="S11" s="123">
        <f t="shared" si="136"/>
        <v>119524</v>
      </c>
      <c r="T11" s="123">
        <f t="shared" si="136"/>
        <v>231914</v>
      </c>
      <c r="U11" s="123">
        <f t="shared" si="136"/>
        <v>136112</v>
      </c>
      <c r="V11" s="123">
        <f t="shared" si="136"/>
        <v>248502</v>
      </c>
      <c r="W11" s="123">
        <f t="shared" si="136"/>
        <v>152700</v>
      </c>
      <c r="X11" s="123">
        <f t="shared" si="136"/>
        <v>265090</v>
      </c>
      <c r="Y11" s="123">
        <f t="shared" si="136"/>
        <v>169288</v>
      </c>
      <c r="Z11" s="123">
        <f t="shared" si="136"/>
        <v>281678</v>
      </c>
      <c r="AA11" s="123">
        <f t="shared" ref="AA11" si="137">Z11+AA10-AA8-AA4-AA5</f>
        <v>185876</v>
      </c>
      <c r="AB11" s="123">
        <f t="shared" ref="AB11" si="138">AA11+AB10-AB8-AB4-AB5</f>
        <v>298266</v>
      </c>
      <c r="AC11" s="123">
        <f t="shared" ref="AC11" si="139">AB11+AC10-AC8-AC4-AC5</f>
        <v>202464</v>
      </c>
      <c r="AD11" s="123">
        <f t="shared" ref="AD11" si="140">AC11+AD10-AD8-AD4-AD5</f>
        <v>314854</v>
      </c>
      <c r="AE11" s="123">
        <f t="shared" ref="AE11" si="141">AD11+AE10-AE8-AE4-AE5</f>
        <v>219052</v>
      </c>
      <c r="AF11" s="123">
        <f t="shared" ref="AF11" si="142">AE11+AF10-AF8-AF4-AF5</f>
        <v>331442</v>
      </c>
      <c r="AG11" s="123">
        <f t="shared" ref="AG11" si="143">AF11+AG10-AG8-AG4-AG5</f>
        <v>235640</v>
      </c>
      <c r="AH11" s="123">
        <f t="shared" ref="AH11" si="144">AG11+AH10-AH8-AH4-AH5</f>
        <v>348030</v>
      </c>
      <c r="AI11" s="123">
        <f t="shared" ref="AI11" si="145">AH11+AI10-AI8-AI4-AI5</f>
        <v>252228</v>
      </c>
      <c r="AJ11" s="123">
        <f t="shared" ref="AJ11" si="146">AI11+AJ10-AJ8-AJ4-AJ5</f>
        <v>364618</v>
      </c>
      <c r="AK11" s="123">
        <f t="shared" ref="AK11" si="147">AJ11+AK10-AK8-AK4-AK5</f>
        <v>268816</v>
      </c>
      <c r="AL11" s="123">
        <f t="shared" ref="AL11" si="148">AK11+AL10-AL8-AL4-AL5</f>
        <v>381206</v>
      </c>
      <c r="AM11" s="123">
        <f t="shared" ref="AM11" si="149">AL11+AM10-AM8-AM4-AM5</f>
        <v>285404</v>
      </c>
      <c r="AN11" s="123">
        <f t="shared" ref="AN11" si="150">AM11+AN10-AN8-AN4-AN5</f>
        <v>397794</v>
      </c>
      <c r="AO11" s="123">
        <f t="shared" ref="AO11" si="151">AN11+AO10-AO8-AO4-AO5</f>
        <v>301992</v>
      </c>
      <c r="AP11" s="123">
        <f t="shared" ref="AP11" si="152">AO11+AP10-AP8-AP4-AP5</f>
        <v>414382</v>
      </c>
      <c r="AQ11" s="123">
        <f t="shared" ref="AQ11" si="153">AP11+AQ10-AQ8-AQ4-AQ5</f>
        <v>318580</v>
      </c>
      <c r="AR11" s="123">
        <f t="shared" ref="AR11" si="154">AQ11+AR10-AR8-AR4-AR5</f>
        <v>430970</v>
      </c>
      <c r="AS11" s="123">
        <f t="shared" ref="AS11" si="155">AR11+AS10-AS8-AS4-AS5</f>
        <v>85168</v>
      </c>
      <c r="AT11" s="123">
        <f>AS11+AT10-AT8-AT4-AT5-AT9</f>
        <v>117558</v>
      </c>
      <c r="AU11" s="123">
        <f t="shared" ref="AU11:BV11" si="156">AT11+AU10-AU8-AU4-AU5-AU9</f>
        <v>36756</v>
      </c>
      <c r="AV11" s="123">
        <f t="shared" si="156"/>
        <v>149146</v>
      </c>
      <c r="AW11" s="123">
        <f t="shared" si="156"/>
        <v>68344</v>
      </c>
      <c r="AX11" s="123">
        <f t="shared" si="156"/>
        <v>180734</v>
      </c>
      <c r="AY11" s="123">
        <f t="shared" si="156"/>
        <v>49932</v>
      </c>
      <c r="AZ11" s="123">
        <f t="shared" si="156"/>
        <v>162322</v>
      </c>
      <c r="BA11" s="123">
        <f t="shared" si="156"/>
        <v>94702</v>
      </c>
      <c r="BB11" s="123">
        <f t="shared" si="156"/>
        <v>207092</v>
      </c>
      <c r="BC11" s="123">
        <f t="shared" si="156"/>
        <v>139472</v>
      </c>
      <c r="BD11" s="123">
        <f t="shared" si="156"/>
        <v>251862</v>
      </c>
      <c r="BE11" s="123">
        <f t="shared" si="156"/>
        <v>184242</v>
      </c>
      <c r="BF11" s="123">
        <f t="shared" si="156"/>
        <v>296632</v>
      </c>
      <c r="BG11" s="123">
        <f t="shared" si="156"/>
        <v>104012</v>
      </c>
      <c r="BH11" s="123">
        <f t="shared" si="156"/>
        <v>216402</v>
      </c>
      <c r="BI11" s="123">
        <f t="shared" si="156"/>
        <v>148782</v>
      </c>
      <c r="BJ11" s="123">
        <f t="shared" si="156"/>
        <v>261172</v>
      </c>
      <c r="BK11" s="123">
        <f t="shared" si="156"/>
        <v>193552</v>
      </c>
      <c r="BL11" s="123">
        <f t="shared" si="156"/>
        <v>305942</v>
      </c>
      <c r="BM11" s="123">
        <f t="shared" si="156"/>
        <v>238322</v>
      </c>
      <c r="BN11" s="123">
        <f t="shared" si="156"/>
        <v>350712</v>
      </c>
      <c r="BO11" s="123">
        <f t="shared" si="156"/>
        <v>283092</v>
      </c>
      <c r="BP11" s="123">
        <f t="shared" si="156"/>
        <v>395482</v>
      </c>
      <c r="BQ11" s="123">
        <f t="shared" si="156"/>
        <v>327862</v>
      </c>
      <c r="BR11" s="123">
        <f t="shared" si="156"/>
        <v>440252</v>
      </c>
      <c r="BS11" s="123">
        <f t="shared" si="156"/>
        <v>372632</v>
      </c>
      <c r="BT11" s="123">
        <f t="shared" si="156"/>
        <v>485022</v>
      </c>
      <c r="BU11" s="123">
        <f t="shared" si="156"/>
        <v>417402</v>
      </c>
      <c r="BV11" s="123">
        <f t="shared" si="156"/>
        <v>529792</v>
      </c>
      <c r="BW11" s="161">
        <f t="shared" ref="BW11" si="157">BV11+BW10-BW8-BW4-BW5-BW9</f>
        <v>462171</v>
      </c>
      <c r="BX11" s="123">
        <f t="shared" ref="BX11" si="158">BW11+BX10-BX8-BX4-BX5-BX9</f>
        <v>574559</v>
      </c>
      <c r="BY11" s="123">
        <f t="shared" ref="BY11" si="159">BX11+BY10-BY8-BY4-BY5-BY9</f>
        <v>506936</v>
      </c>
      <c r="BZ11" s="123">
        <f t="shared" ref="BZ11" si="160">BY11+BZ10-BZ8-BZ4-BZ5-BZ9</f>
        <v>619322</v>
      </c>
      <c r="CA11" s="123">
        <f t="shared" ref="CA11" si="161">BZ11+CA10-CA8-CA4-CA5-CA9</f>
        <v>551697</v>
      </c>
      <c r="CB11" s="123">
        <f t="shared" ref="CB11" si="162">CA11+CB10-CB8-CB4-CB5-CB9</f>
        <v>664081</v>
      </c>
      <c r="CC11" s="123">
        <f t="shared" ref="CC11" si="163">CB11+CC10-CC8-CC4-CC5-CC9</f>
        <v>596454</v>
      </c>
      <c r="CD11" s="123">
        <f t="shared" ref="CD11" si="164">CC11+CD10-CD8-CD4-CD5-CD9</f>
        <v>708836</v>
      </c>
    </row>
  </sheetData>
  <mergeCells count="40">
    <mergeCell ref="BU2:BV2"/>
    <mergeCell ref="BW2:BX2"/>
    <mergeCell ref="BY2:BZ2"/>
    <mergeCell ref="CA2:CB2"/>
    <mergeCell ref="CC2:CD2"/>
    <mergeCell ref="BK2:BL2"/>
    <mergeCell ref="BM2:BN2"/>
    <mergeCell ref="BO2:BP2"/>
    <mergeCell ref="BQ2:BR2"/>
    <mergeCell ref="BS2:BT2"/>
    <mergeCell ref="BA2:BB2"/>
    <mergeCell ref="BC2:BD2"/>
    <mergeCell ref="BE2:BF2"/>
    <mergeCell ref="BG2:BH2"/>
    <mergeCell ref="BI2:BJ2"/>
    <mergeCell ref="AQ2:AR2"/>
    <mergeCell ref="AS2:AT2"/>
    <mergeCell ref="AU2:AV2"/>
    <mergeCell ref="AW2:AX2"/>
    <mergeCell ref="AY2:AZ2"/>
    <mergeCell ref="AG2:AH2"/>
    <mergeCell ref="AI2:AJ2"/>
    <mergeCell ref="AK2:AL2"/>
    <mergeCell ref="AM2:AN2"/>
    <mergeCell ref="AO2:AP2"/>
    <mergeCell ref="W2:X2"/>
    <mergeCell ref="Y2:Z2"/>
    <mergeCell ref="AA2:AB2"/>
    <mergeCell ref="AC2:AD2"/>
    <mergeCell ref="AE2:AF2"/>
    <mergeCell ref="M2:N2"/>
    <mergeCell ref="O2:P2"/>
    <mergeCell ref="Q2:R2"/>
    <mergeCell ref="S2:T2"/>
    <mergeCell ref="U2:V2"/>
    <mergeCell ref="C2:D2"/>
    <mergeCell ref="E2:F2"/>
    <mergeCell ref="G2:H2"/>
    <mergeCell ref="I2:J2"/>
    <mergeCell ref="K2:L2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M24"/>
  <sheetViews>
    <sheetView topLeftCell="A4" workbookViewId="0">
      <selection activeCell="A4" sqref="A1:XFD1048576"/>
    </sheetView>
  </sheetViews>
  <sheetFormatPr baseColWidth="10" defaultRowHeight="14.5" x14ac:dyDescent="0.35"/>
  <cols>
    <col min="1" max="1" width="2.7265625" customWidth="1"/>
    <col min="2" max="2" width="14.7265625" bestFit="1" customWidth="1"/>
    <col min="3" max="3" width="16.7265625" bestFit="1" customWidth="1"/>
    <col min="4" max="4" width="13.7265625" customWidth="1"/>
    <col min="5" max="5" width="12.54296875" bestFit="1" customWidth="1"/>
    <col min="6" max="6" width="18.1796875" customWidth="1"/>
    <col min="7" max="7" width="13.453125" customWidth="1"/>
    <col min="8" max="8" width="21.26953125" bestFit="1" customWidth="1"/>
    <col min="9" max="9" width="21" customWidth="1"/>
    <col min="10" max="10" width="2.54296875" customWidth="1"/>
    <col min="11" max="11" width="20" customWidth="1"/>
    <col min="12" max="12" width="1.26953125" customWidth="1"/>
    <col min="13" max="13" width="11.453125" style="146"/>
  </cols>
  <sheetData>
    <row r="1" spans="2:13" ht="15" thickBot="1" x14ac:dyDescent="0.4"/>
    <row r="2" spans="2:13" ht="15" thickBot="1" x14ac:dyDescent="0.4">
      <c r="B2" s="60" t="s">
        <v>3</v>
      </c>
      <c r="C2" s="61">
        <f>'DECISIÓN A PLAZO'!BV11</f>
        <v>529792</v>
      </c>
      <c r="E2" s="60" t="s">
        <v>72</v>
      </c>
      <c r="F2" s="60"/>
      <c r="G2" s="61">
        <f>'DATOS INICIALES'!H27</f>
        <v>300000</v>
      </c>
    </row>
    <row r="3" spans="2:13" ht="15" thickBot="1" x14ac:dyDescent="0.4"/>
    <row r="4" spans="2:13" ht="15" thickBot="1" x14ac:dyDescent="0.4">
      <c r="B4" s="188" t="s">
        <v>64</v>
      </c>
      <c r="C4" s="189"/>
      <c r="D4" s="189"/>
      <c r="E4" s="190"/>
    </row>
    <row r="5" spans="2:13" ht="30" customHeight="1" x14ac:dyDescent="0.35">
      <c r="B5" s="74" t="s">
        <v>45</v>
      </c>
      <c r="C5" s="143" t="s">
        <v>46</v>
      </c>
      <c r="D5" s="143" t="s">
        <v>47</v>
      </c>
      <c r="E5" s="144" t="s">
        <v>54</v>
      </c>
      <c r="F5" s="105" t="s">
        <v>86</v>
      </c>
      <c r="G5" s="105" t="s">
        <v>87</v>
      </c>
      <c r="H5" s="74" t="s">
        <v>88</v>
      </c>
      <c r="I5" s="75" t="s">
        <v>89</v>
      </c>
      <c r="K5" s="80" t="s">
        <v>102</v>
      </c>
      <c r="M5" s="80" t="s">
        <v>176</v>
      </c>
    </row>
    <row r="6" spans="2:13" x14ac:dyDescent="0.35">
      <c r="B6" s="150" t="s">
        <v>48</v>
      </c>
      <c r="C6" s="151">
        <v>125000</v>
      </c>
      <c r="D6" s="152">
        <v>30000</v>
      </c>
      <c r="E6" s="153">
        <v>20000</v>
      </c>
      <c r="F6" s="154"/>
      <c r="G6" s="154"/>
      <c r="H6" s="155">
        <v>50000</v>
      </c>
      <c r="I6" s="156">
        <v>125000</v>
      </c>
      <c r="J6" s="158"/>
      <c r="K6" s="159">
        <f>I6/D6</f>
        <v>4.166666666666667</v>
      </c>
      <c r="L6" s="158"/>
      <c r="M6" s="160">
        <f>D6/C6</f>
        <v>0.24</v>
      </c>
    </row>
    <row r="7" spans="2:13" x14ac:dyDescent="0.35">
      <c r="B7" s="150" t="s">
        <v>49</v>
      </c>
      <c r="C7" s="151">
        <v>100000</v>
      </c>
      <c r="D7" s="152">
        <v>0</v>
      </c>
      <c r="E7" s="153">
        <v>0</v>
      </c>
      <c r="F7" s="154"/>
      <c r="G7" s="154"/>
      <c r="H7" s="157">
        <f>D7+E7</f>
        <v>0</v>
      </c>
      <c r="I7" s="156">
        <v>100000</v>
      </c>
      <c r="J7" s="158"/>
      <c r="K7" s="159">
        <v>0</v>
      </c>
      <c r="L7" s="158"/>
      <c r="M7" s="160">
        <f t="shared" ref="M7:M24" si="0">D7/C7</f>
        <v>0</v>
      </c>
    </row>
    <row r="8" spans="2:13" x14ac:dyDescent="0.35">
      <c r="B8" s="30" t="s">
        <v>50</v>
      </c>
      <c r="C8" s="6">
        <v>2230000</v>
      </c>
      <c r="D8" s="29">
        <v>150000</v>
      </c>
      <c r="E8" s="62">
        <v>300000</v>
      </c>
      <c r="F8" s="64"/>
      <c r="G8" s="64"/>
      <c r="H8" s="78">
        <f>D8+E8</f>
        <v>450000</v>
      </c>
      <c r="I8" s="31">
        <f>C8</f>
        <v>2230000</v>
      </c>
      <c r="K8" s="81">
        <f>I8/D8</f>
        <v>14.866666666666667</v>
      </c>
      <c r="M8" s="147">
        <f t="shared" si="0"/>
        <v>6.726457399103139E-2</v>
      </c>
    </row>
    <row r="9" spans="2:13" x14ac:dyDescent="0.35">
      <c r="B9" s="30" t="s">
        <v>51</v>
      </c>
      <c r="C9" s="6">
        <v>485000</v>
      </c>
      <c r="D9" s="29">
        <v>0</v>
      </c>
      <c r="E9" s="62">
        <v>0</v>
      </c>
      <c r="F9" s="64"/>
      <c r="G9" s="64"/>
      <c r="H9" s="78">
        <f t="shared" ref="H9:H10" si="1">D9+E9</f>
        <v>0</v>
      </c>
      <c r="I9" s="31">
        <v>485000</v>
      </c>
      <c r="K9" s="81">
        <v>0</v>
      </c>
      <c r="M9" s="147">
        <f t="shared" si="0"/>
        <v>0</v>
      </c>
    </row>
    <row r="10" spans="2:13" x14ac:dyDescent="0.35">
      <c r="B10" s="30" t="s">
        <v>174</v>
      </c>
      <c r="C10" s="6">
        <v>825000</v>
      </c>
      <c r="D10" s="29">
        <v>0</v>
      </c>
      <c r="E10" s="62">
        <v>0</v>
      </c>
      <c r="F10" s="64"/>
      <c r="G10" s="64"/>
      <c r="H10" s="78">
        <f t="shared" si="1"/>
        <v>0</v>
      </c>
      <c r="I10" s="31">
        <f>C10</f>
        <v>825000</v>
      </c>
      <c r="K10" s="81">
        <v>0</v>
      </c>
      <c r="M10" s="147">
        <f t="shared" si="0"/>
        <v>0</v>
      </c>
    </row>
    <row r="11" spans="2:13" x14ac:dyDescent="0.35">
      <c r="B11" s="30" t="s">
        <v>175</v>
      </c>
      <c r="C11" s="6">
        <v>650000</v>
      </c>
      <c r="D11" s="29">
        <v>80000</v>
      </c>
      <c r="E11" s="62">
        <v>120000</v>
      </c>
      <c r="F11" s="64"/>
      <c r="G11" s="64"/>
      <c r="H11" s="78">
        <f>D11+E11</f>
        <v>200000</v>
      </c>
      <c r="I11" s="31">
        <f>C11</f>
        <v>650000</v>
      </c>
      <c r="K11" s="81">
        <f>I11/D11</f>
        <v>8.125</v>
      </c>
      <c r="M11" s="147">
        <f t="shared" si="0"/>
        <v>0.12307692307692308</v>
      </c>
    </row>
    <row r="12" spans="2:13" x14ac:dyDescent="0.35">
      <c r="B12" s="150" t="s">
        <v>52</v>
      </c>
      <c r="C12" s="151">
        <v>320000</v>
      </c>
      <c r="D12" s="152">
        <v>75000</v>
      </c>
      <c r="E12" s="153">
        <v>0</v>
      </c>
      <c r="F12" s="154"/>
      <c r="G12" s="154"/>
      <c r="H12" s="155">
        <v>75000</v>
      </c>
      <c r="I12" s="156">
        <v>320000</v>
      </c>
      <c r="J12" s="158"/>
      <c r="K12" s="159">
        <f>I12/D12</f>
        <v>4.2666666666666666</v>
      </c>
      <c r="L12" s="158"/>
      <c r="M12" s="160">
        <f t="shared" si="0"/>
        <v>0.234375</v>
      </c>
    </row>
    <row r="13" spans="2:13" x14ac:dyDescent="0.35">
      <c r="B13" s="134" t="s">
        <v>53</v>
      </c>
      <c r="C13" s="135">
        <v>180000</v>
      </c>
      <c r="D13" s="136">
        <v>52000</v>
      </c>
      <c r="E13" s="137">
        <v>18000</v>
      </c>
      <c r="F13" s="138"/>
      <c r="G13" s="138"/>
      <c r="H13" s="139">
        <f>D13+E13</f>
        <v>70000</v>
      </c>
      <c r="I13" s="140">
        <v>180000</v>
      </c>
      <c r="J13" s="141"/>
      <c r="K13" s="142">
        <f>I13/D13</f>
        <v>3.4615384615384617</v>
      </c>
      <c r="M13" s="149">
        <f t="shared" si="0"/>
        <v>0.28888888888888886</v>
      </c>
    </row>
    <row r="14" spans="2:13" x14ac:dyDescent="0.35">
      <c r="B14" s="30" t="s">
        <v>55</v>
      </c>
      <c r="C14" s="6">
        <v>85000</v>
      </c>
      <c r="D14" s="29">
        <v>15000</v>
      </c>
      <c r="E14" s="62">
        <v>0</v>
      </c>
      <c r="F14" s="64"/>
      <c r="G14" s="64"/>
      <c r="H14" s="78">
        <f>D14+E14</f>
        <v>15000</v>
      </c>
      <c r="I14" s="31">
        <f t="shared" ref="I14:I19" si="2">C14</f>
        <v>85000</v>
      </c>
      <c r="K14" s="81">
        <f>I14/D14</f>
        <v>5.666666666666667</v>
      </c>
      <c r="M14" s="147">
        <f t="shared" si="0"/>
        <v>0.17647058823529413</v>
      </c>
    </row>
    <row r="15" spans="2:13" x14ac:dyDescent="0.35">
      <c r="B15" s="30" t="s">
        <v>56</v>
      </c>
      <c r="C15" s="6">
        <v>220000</v>
      </c>
      <c r="D15" s="29">
        <v>0</v>
      </c>
      <c r="E15" s="62">
        <v>0</v>
      </c>
      <c r="F15" s="64"/>
      <c r="G15" s="64"/>
      <c r="H15" s="78">
        <f t="shared" ref="H15:H19" si="3">D15+E15</f>
        <v>0</v>
      </c>
      <c r="I15" s="31">
        <f t="shared" si="2"/>
        <v>220000</v>
      </c>
      <c r="K15" s="81">
        <v>0</v>
      </c>
      <c r="M15" s="147">
        <f t="shared" si="0"/>
        <v>0</v>
      </c>
    </row>
    <row r="16" spans="2:13" x14ac:dyDescent="0.35">
      <c r="B16" s="150" t="s">
        <v>57</v>
      </c>
      <c r="C16" s="151">
        <v>50000</v>
      </c>
      <c r="D16" s="152">
        <v>0</v>
      </c>
      <c r="E16" s="153">
        <v>0</v>
      </c>
      <c r="F16" s="154"/>
      <c r="G16" s="154"/>
      <c r="H16" s="157">
        <f t="shared" si="3"/>
        <v>0</v>
      </c>
      <c r="I16" s="156">
        <f t="shared" si="2"/>
        <v>50000</v>
      </c>
      <c r="J16" s="158"/>
      <c r="K16" s="159">
        <v>0</v>
      </c>
      <c r="L16" s="158"/>
      <c r="M16" s="160">
        <f t="shared" si="0"/>
        <v>0</v>
      </c>
    </row>
    <row r="17" spans="2:13" x14ac:dyDescent="0.35">
      <c r="B17" s="30" t="s">
        <v>58</v>
      </c>
      <c r="C17" s="6">
        <v>180000</v>
      </c>
      <c r="D17" s="29">
        <v>0</v>
      </c>
      <c r="E17" s="62">
        <v>0</v>
      </c>
      <c r="F17" s="64"/>
      <c r="G17" s="64"/>
      <c r="H17" s="78">
        <f t="shared" si="3"/>
        <v>0</v>
      </c>
      <c r="I17" s="31">
        <f t="shared" si="2"/>
        <v>180000</v>
      </c>
      <c r="K17" s="81">
        <v>0</v>
      </c>
      <c r="M17" s="147">
        <f t="shared" si="0"/>
        <v>0</v>
      </c>
    </row>
    <row r="18" spans="2:13" x14ac:dyDescent="0.35">
      <c r="B18" s="30" t="s">
        <v>59</v>
      </c>
      <c r="C18" s="6">
        <v>120000</v>
      </c>
      <c r="D18" s="29">
        <v>25000</v>
      </c>
      <c r="E18" s="62">
        <v>25000</v>
      </c>
      <c r="F18" s="64"/>
      <c r="G18" s="64"/>
      <c r="H18" s="78">
        <f t="shared" si="3"/>
        <v>50000</v>
      </c>
      <c r="I18" s="31">
        <f t="shared" si="2"/>
        <v>120000</v>
      </c>
      <c r="K18" s="81">
        <f>I18/D18</f>
        <v>4.8</v>
      </c>
      <c r="M18" s="147">
        <f t="shared" si="0"/>
        <v>0.20833333333333334</v>
      </c>
    </row>
    <row r="19" spans="2:13" x14ac:dyDescent="0.35">
      <c r="B19" s="30" t="s">
        <v>60</v>
      </c>
      <c r="C19" s="6">
        <v>450000</v>
      </c>
      <c r="D19" s="29">
        <v>50000</v>
      </c>
      <c r="E19" s="62">
        <v>50000</v>
      </c>
      <c r="F19" s="64"/>
      <c r="G19" s="64"/>
      <c r="H19" s="78">
        <f t="shared" si="3"/>
        <v>100000</v>
      </c>
      <c r="I19" s="31">
        <f t="shared" si="2"/>
        <v>450000</v>
      </c>
      <c r="K19" s="81">
        <f>I19/D19</f>
        <v>9</v>
      </c>
      <c r="M19" s="147">
        <f t="shared" si="0"/>
        <v>0.1111111111111111</v>
      </c>
    </row>
    <row r="20" spans="2:13" x14ac:dyDescent="0.35">
      <c r="B20" s="134" t="s">
        <v>61</v>
      </c>
      <c r="C20" s="135">
        <v>280000</v>
      </c>
      <c r="D20" s="136">
        <v>15000</v>
      </c>
      <c r="E20" s="137">
        <v>15000</v>
      </c>
      <c r="F20" s="138"/>
      <c r="G20" s="138"/>
      <c r="H20" s="139">
        <f>D20+E20</f>
        <v>30000</v>
      </c>
      <c r="I20" s="140">
        <v>280000</v>
      </c>
      <c r="J20" s="141"/>
      <c r="K20" s="142">
        <f>I20/D20</f>
        <v>18.666666666666668</v>
      </c>
      <c r="M20" s="149">
        <f t="shared" si="0"/>
        <v>5.3571428571428568E-2</v>
      </c>
    </row>
    <row r="21" spans="2:13" x14ac:dyDescent="0.35">
      <c r="B21" s="150" t="s">
        <v>172</v>
      </c>
      <c r="C21" s="151">
        <v>350000</v>
      </c>
      <c r="D21" s="152">
        <v>0</v>
      </c>
      <c r="E21" s="153">
        <v>0</v>
      </c>
      <c r="F21" s="154"/>
      <c r="G21" s="154"/>
      <c r="H21" s="157">
        <f>D21+E21</f>
        <v>0</v>
      </c>
      <c r="I21" s="156">
        <f>C21</f>
        <v>350000</v>
      </c>
      <c r="J21" s="158"/>
      <c r="K21" s="159">
        <v>0</v>
      </c>
      <c r="L21" s="158"/>
      <c r="M21" s="160">
        <f t="shared" si="0"/>
        <v>0</v>
      </c>
    </row>
    <row r="22" spans="2:13" x14ac:dyDescent="0.35">
      <c r="B22" s="30" t="s">
        <v>173</v>
      </c>
      <c r="C22" s="6">
        <v>630000</v>
      </c>
      <c r="D22" s="29">
        <v>30000</v>
      </c>
      <c r="E22" s="62">
        <v>30000</v>
      </c>
      <c r="F22" s="64"/>
      <c r="G22" s="64"/>
      <c r="H22" s="78">
        <f t="shared" ref="H22:H24" si="4">D22+E22</f>
        <v>60000</v>
      </c>
      <c r="I22" s="31">
        <f>C22</f>
        <v>630000</v>
      </c>
      <c r="K22" s="81">
        <f>I22/D22</f>
        <v>21</v>
      </c>
      <c r="M22" s="147">
        <f t="shared" si="0"/>
        <v>4.7619047619047616E-2</v>
      </c>
    </row>
    <row r="23" spans="2:13" x14ac:dyDescent="0.35">
      <c r="B23" s="30" t="s">
        <v>62</v>
      </c>
      <c r="C23" s="6">
        <v>1090000</v>
      </c>
      <c r="D23" s="29">
        <v>0</v>
      </c>
      <c r="E23" s="62">
        <v>0</v>
      </c>
      <c r="F23" s="64"/>
      <c r="G23" s="64"/>
      <c r="H23" s="78">
        <f t="shared" si="4"/>
        <v>0</v>
      </c>
      <c r="I23" s="31">
        <f>C23</f>
        <v>1090000</v>
      </c>
      <c r="K23" s="81">
        <v>0</v>
      </c>
      <c r="M23" s="147">
        <f t="shared" si="0"/>
        <v>0</v>
      </c>
    </row>
    <row r="24" spans="2:13" ht="15" thickBot="1" x14ac:dyDescent="0.4">
      <c r="B24" s="32" t="s">
        <v>63</v>
      </c>
      <c r="C24" s="33">
        <v>1800000</v>
      </c>
      <c r="D24" s="34">
        <v>0</v>
      </c>
      <c r="E24" s="63">
        <v>0</v>
      </c>
      <c r="F24" s="66"/>
      <c r="G24" s="66"/>
      <c r="H24" s="145">
        <f t="shared" si="4"/>
        <v>0</v>
      </c>
      <c r="I24" s="35">
        <f>C24</f>
        <v>1800000</v>
      </c>
      <c r="K24" s="82">
        <v>0</v>
      </c>
      <c r="M24" s="148">
        <f t="shared" si="0"/>
        <v>0</v>
      </c>
    </row>
  </sheetData>
  <mergeCells count="1">
    <mergeCell ref="B4:E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11</vt:i4>
      </vt:variant>
    </vt:vector>
  </HeadingPairs>
  <TitlesOfParts>
    <vt:vector size="11" baseType="lpstr">
      <vt:lpstr>DATOS INICIALES</vt:lpstr>
      <vt:lpstr>MARGENES</vt:lpstr>
      <vt:lpstr>BENCHMARKING</vt:lpstr>
      <vt:lpstr>DECISIÓN DE COMPRA</vt:lpstr>
      <vt:lpstr>PROYECCIÓN DE VENTAS </vt:lpstr>
      <vt:lpstr>PROYECCIÓN FINANCIERA</vt:lpstr>
      <vt:lpstr>AMORTIZACIÓN DEL PAGO</vt:lpstr>
      <vt:lpstr>DECISIÓN A PLAZO</vt:lpstr>
      <vt:lpstr>OFERTA DE UNIDADES 2</vt:lpstr>
      <vt:lpstr>SEGUNDA UNIDAD</vt:lpstr>
      <vt:lpstr>SEGUNDA PROYECCIÓN FINANCIERA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octavio cortez avalos</dc:creator>
  <cp:lastModifiedBy>CARLOS CORTEZ</cp:lastModifiedBy>
  <dcterms:created xsi:type="dcterms:W3CDTF">2020-11-12T16:28:01Z</dcterms:created>
  <dcterms:modified xsi:type="dcterms:W3CDTF">2021-06-03T23:08:10Z</dcterms:modified>
</cp:coreProperties>
</file>